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5760" yWindow="1212" windowWidth="3780" windowHeight="2952" tabRatio="602"/>
  </bookViews>
  <sheets>
    <sheet name="Лист1" sheetId="1" r:id="rId1"/>
    <sheet name="Лист3" sheetId="3" r:id="rId2"/>
  </sheets>
  <definedNames>
    <definedName name="_xlnm._FilterDatabase" localSheetId="0" hidden="1">Лист1!$A$2:$E$1348</definedName>
    <definedName name="_xlnm.Print_Area" localSheetId="0">Лист1!$A$2:$D$262</definedName>
  </definedNames>
  <calcPr calcId="144525" concurrentCalc="0"/>
</workbook>
</file>

<file path=xl/calcChain.xml><?xml version="1.0" encoding="utf-8"?>
<calcChain xmlns="http://schemas.openxmlformats.org/spreadsheetml/2006/main">
  <c r="E5602" i="1" l="1"/>
  <c r="E5601" i="1"/>
  <c r="E5599" i="1"/>
  <c r="E5598" i="1"/>
  <c r="E5596" i="1"/>
  <c r="E5594" i="1"/>
  <c r="E5593" i="1"/>
  <c r="E5591" i="1"/>
  <c r="E5588" i="1"/>
  <c r="E5586" i="1"/>
  <c r="E5582" i="1"/>
  <c r="E5581" i="1"/>
  <c r="E5578" i="1"/>
  <c r="E5577" i="1"/>
  <c r="E5575" i="1"/>
  <c r="E5574" i="1"/>
  <c r="E5573" i="1"/>
  <c r="E5569" i="1"/>
  <c r="E5568" i="1"/>
  <c r="E5566" i="1"/>
  <c r="E5565" i="1"/>
  <c r="E5562" i="1"/>
  <c r="E5561" i="1"/>
  <c r="E5560" i="1"/>
  <c r="E5557" i="1"/>
  <c r="E5556" i="1"/>
  <c r="E5555" i="1"/>
  <c r="E5554" i="1"/>
  <c r="E5553" i="1"/>
  <c r="E5552" i="1"/>
  <c r="E5551" i="1"/>
  <c r="E5549" i="1"/>
  <c r="E5548" i="1"/>
  <c r="E5547" i="1"/>
  <c r="E5546" i="1"/>
  <c r="E5544" i="1"/>
  <c r="E5542" i="1"/>
  <c r="E5540" i="1"/>
  <c r="E5537" i="1"/>
  <c r="E5536" i="1"/>
  <c r="E5535" i="1"/>
  <c r="E5533" i="1"/>
  <c r="E5531" i="1"/>
  <c r="E5530" i="1"/>
  <c r="E5529" i="1"/>
  <c r="E5527" i="1"/>
  <c r="E5526" i="1"/>
  <c r="E5525" i="1"/>
  <c r="E5524" i="1"/>
  <c r="E5523" i="1"/>
  <c r="E5522" i="1"/>
  <c r="E5521" i="1"/>
  <c r="E5520" i="1"/>
  <c r="E5519" i="1"/>
  <c r="E5518" i="1"/>
  <c r="E5513" i="1"/>
  <c r="E5511" i="1"/>
  <c r="E5509" i="1"/>
  <c r="E5508" i="1"/>
  <c r="E5505" i="1"/>
  <c r="E5504" i="1"/>
  <c r="E5503" i="1"/>
  <c r="E5502" i="1"/>
  <c r="E5499" i="1"/>
  <c r="E5498" i="1"/>
  <c r="E5497" i="1"/>
  <c r="E5492" i="1"/>
  <c r="E5490" i="1"/>
  <c r="E5488" i="1"/>
  <c r="E5486" i="1"/>
  <c r="E5485" i="1"/>
  <c r="E5484" i="1"/>
  <c r="E5483" i="1"/>
  <c r="E5482" i="1"/>
  <c r="E5480" i="1"/>
  <c r="E5479" i="1"/>
  <c r="E5478" i="1"/>
  <c r="E5477" i="1"/>
  <c r="E5476" i="1"/>
  <c r="E5475" i="1"/>
  <c r="E5474" i="1"/>
  <c r="E5470" i="1"/>
  <c r="E5469" i="1"/>
  <c r="E5468" i="1"/>
  <c r="E5467" i="1"/>
  <c r="E5466" i="1"/>
  <c r="E5465" i="1"/>
  <c r="E5464" i="1"/>
  <c r="E5463" i="1"/>
  <c r="E5462" i="1"/>
  <c r="E5461" i="1"/>
  <c r="E5460" i="1"/>
  <c r="E5459" i="1"/>
  <c r="E5455" i="1"/>
  <c r="E5454" i="1"/>
  <c r="E5453" i="1"/>
  <c r="E5452" i="1"/>
  <c r="E5451" i="1"/>
  <c r="E5449" i="1"/>
  <c r="E5448" i="1"/>
  <c r="E5447" i="1"/>
  <c r="E5446" i="1"/>
  <c r="E5445" i="1"/>
  <c r="E5444" i="1"/>
  <c r="E5443" i="1"/>
  <c r="E5442" i="1"/>
  <c r="E5440" i="1"/>
  <c r="E5439" i="1"/>
  <c r="E5438" i="1"/>
  <c r="E5437" i="1"/>
  <c r="E5436" i="1"/>
  <c r="E5435" i="1"/>
  <c r="E5434" i="1"/>
  <c r="E5433" i="1"/>
  <c r="E5432" i="1"/>
  <c r="E5431" i="1"/>
  <c r="E5430" i="1"/>
  <c r="E5428" i="1"/>
  <c r="E5426" i="1"/>
  <c r="E5425" i="1"/>
  <c r="E5424" i="1"/>
  <c r="E5423" i="1"/>
  <c r="E5422" i="1"/>
  <c r="E5421" i="1"/>
  <c r="E5413" i="1"/>
  <c r="E5410" i="1"/>
  <c r="E5409" i="1"/>
  <c r="E5408" i="1"/>
  <c r="E5407" i="1"/>
  <c r="E5406" i="1"/>
  <c r="E5405" i="1"/>
  <c r="E5404" i="1"/>
  <c r="E5402" i="1"/>
  <c r="E5401" i="1"/>
  <c r="E5400" i="1"/>
  <c r="E5399" i="1"/>
  <c r="E5398" i="1"/>
  <c r="E5397" i="1"/>
  <c r="E5396" i="1"/>
  <c r="E5395" i="1"/>
  <c r="E5394" i="1"/>
  <c r="E5390" i="1"/>
  <c r="E5385" i="1"/>
  <c r="E5384" i="1"/>
  <c r="E5383" i="1"/>
  <c r="E5382" i="1"/>
  <c r="E5381" i="1"/>
  <c r="E5378" i="1"/>
  <c r="E5377" i="1"/>
  <c r="E5376" i="1"/>
  <c r="E5372" i="1"/>
  <c r="E5371" i="1"/>
  <c r="E5369" i="1"/>
  <c r="E5368" i="1"/>
  <c r="E5367" i="1"/>
  <c r="E5366" i="1"/>
  <c r="E5364" i="1"/>
  <c r="E5362" i="1"/>
  <c r="E5360" i="1"/>
  <c r="E5359" i="1"/>
  <c r="E5355" i="1"/>
  <c r="E5354" i="1"/>
  <c r="E5351" i="1"/>
  <c r="E5350" i="1"/>
  <c r="E5349" i="1"/>
  <c r="E5348" i="1"/>
  <c r="E5346" i="1"/>
  <c r="E5344" i="1"/>
  <c r="E5342" i="1"/>
  <c r="E5339" i="1"/>
  <c r="E5338" i="1"/>
  <c r="E5337" i="1"/>
  <c r="E5333" i="1"/>
  <c r="E5331" i="1"/>
  <c r="E5330" i="1"/>
  <c r="E5329" i="1"/>
  <c r="E5328" i="1"/>
  <c r="E5327" i="1"/>
  <c r="E5325" i="1"/>
  <c r="E5323" i="1"/>
  <c r="E5322" i="1"/>
  <c r="E5320" i="1"/>
  <c r="E5319" i="1"/>
  <c r="E5318" i="1"/>
  <c r="E5317" i="1"/>
  <c r="E5316" i="1"/>
  <c r="E5315" i="1"/>
  <c r="E5314" i="1"/>
  <c r="E5312" i="1"/>
  <c r="E5311" i="1"/>
  <c r="E5309" i="1"/>
  <c r="E5308" i="1"/>
  <c r="E5307" i="1"/>
  <c r="E5306" i="1"/>
  <c r="E5305" i="1"/>
  <c r="E5302" i="1"/>
  <c r="E5301" i="1"/>
  <c r="E5300" i="1"/>
  <c r="E5299" i="1"/>
  <c r="E5298" i="1"/>
  <c r="E5296" i="1"/>
  <c r="E5295" i="1"/>
  <c r="E5294" i="1"/>
  <c r="E5293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1" i="1"/>
  <c r="E5270" i="1"/>
  <c r="E5269" i="1"/>
  <c r="E5268" i="1"/>
  <c r="E5267" i="1"/>
  <c r="E5265" i="1"/>
  <c r="E5263" i="1"/>
  <c r="E5262" i="1"/>
  <c r="E5261" i="1"/>
  <c r="E5259" i="1"/>
  <c r="E5258" i="1"/>
  <c r="E5257" i="1"/>
  <c r="E5256" i="1"/>
  <c r="E5254" i="1"/>
  <c r="E5253" i="1"/>
  <c r="E5252" i="1"/>
  <c r="E5249" i="1"/>
  <c r="E5248" i="1"/>
  <c r="E5247" i="1"/>
  <c r="E5246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4" i="1"/>
  <c r="E5223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1" i="1"/>
  <c r="E5198" i="1"/>
  <c r="E5197" i="1"/>
  <c r="E5195" i="1"/>
  <c r="E5193" i="1"/>
  <c r="E5192" i="1"/>
  <c r="E5191" i="1"/>
  <c r="E5189" i="1"/>
  <c r="E5188" i="1"/>
  <c r="E5187" i="1"/>
  <c r="E5184" i="1"/>
  <c r="E5182" i="1"/>
  <c r="E5181" i="1"/>
  <c r="E5179" i="1"/>
  <c r="E5176" i="1"/>
  <c r="E5172" i="1"/>
  <c r="E5170" i="1"/>
  <c r="E5167" i="1"/>
  <c r="E5164" i="1"/>
  <c r="E5161" i="1"/>
  <c r="E5159" i="1"/>
  <c r="E5158" i="1"/>
  <c r="E5156" i="1"/>
  <c r="E5155" i="1"/>
  <c r="E5154" i="1"/>
  <c r="E5151" i="1"/>
  <c r="E5149" i="1"/>
  <c r="E5147" i="1"/>
  <c r="E5145" i="1"/>
  <c r="E5144" i="1"/>
  <c r="E5143" i="1"/>
  <c r="E5142" i="1"/>
  <c r="E5141" i="1"/>
  <c r="E5139" i="1"/>
  <c r="E5136" i="1"/>
  <c r="E5135" i="1"/>
  <c r="E5134" i="1"/>
  <c r="E5132" i="1"/>
  <c r="E5131" i="1"/>
  <c r="E5126" i="1"/>
  <c r="E5125" i="1"/>
  <c r="E5123" i="1"/>
  <c r="E5122" i="1"/>
  <c r="E5120" i="1"/>
  <c r="E5116" i="1"/>
  <c r="E5114" i="1"/>
  <c r="E5111" i="1"/>
  <c r="E5107" i="1"/>
  <c r="E5105" i="1"/>
  <c r="E5103" i="1"/>
  <c r="E5101" i="1"/>
  <c r="E5099" i="1"/>
  <c r="E5098" i="1"/>
  <c r="E5097" i="1"/>
  <c r="E5095" i="1"/>
  <c r="E5094" i="1"/>
  <c r="E5090" i="1"/>
  <c r="E5085" i="1"/>
  <c r="E5081" i="1"/>
  <c r="E5078" i="1"/>
  <c r="E5076" i="1"/>
  <c r="E5075" i="1"/>
  <c r="E5070" i="1"/>
  <c r="E5069" i="1"/>
  <c r="E5068" i="1"/>
  <c r="E5066" i="1"/>
  <c r="E5064" i="1"/>
  <c r="E5062" i="1"/>
  <c r="E5061" i="1"/>
  <c r="E5059" i="1"/>
  <c r="E5055" i="1"/>
  <c r="E5054" i="1"/>
  <c r="E5053" i="1"/>
  <c r="E5052" i="1"/>
  <c r="E5049" i="1"/>
  <c r="E5046" i="1"/>
  <c r="E5043" i="1"/>
  <c r="E5042" i="1"/>
  <c r="E5041" i="1"/>
  <c r="E5039" i="1"/>
  <c r="E5037" i="1"/>
  <c r="E5035" i="1"/>
  <c r="E5034" i="1"/>
  <c r="E5033" i="1"/>
  <c r="E5032" i="1"/>
  <c r="E5028" i="1"/>
  <c r="E5025" i="1"/>
  <c r="E5023" i="1"/>
  <c r="E5021" i="1"/>
  <c r="E5018" i="1"/>
  <c r="E5016" i="1"/>
  <c r="E5012" i="1"/>
  <c r="E5011" i="1"/>
  <c r="E5009" i="1"/>
  <c r="E5007" i="1"/>
  <c r="E5006" i="1"/>
  <c r="E5005" i="1"/>
  <c r="E5003" i="1"/>
  <c r="E5001" i="1"/>
  <c r="E5000" i="1"/>
  <c r="E4999" i="1"/>
  <c r="E4995" i="1"/>
  <c r="E4994" i="1"/>
  <c r="E4993" i="1"/>
  <c r="E4992" i="1"/>
  <c r="E4991" i="1"/>
  <c r="E4990" i="1"/>
  <c r="E4989" i="1"/>
  <c r="E4988" i="1"/>
  <c r="E4987" i="1"/>
  <c r="E4984" i="1"/>
  <c r="E4983" i="1"/>
  <c r="E4981" i="1"/>
  <c r="E4980" i="1"/>
  <c r="E4979" i="1"/>
  <c r="E4978" i="1"/>
  <c r="E4976" i="1"/>
  <c r="E4975" i="1"/>
  <c r="E4973" i="1"/>
  <c r="E4971" i="1"/>
  <c r="E4969" i="1"/>
  <c r="E4968" i="1"/>
  <c r="E4967" i="1"/>
  <c r="E4966" i="1"/>
  <c r="E4965" i="1"/>
  <c r="E4960" i="1"/>
  <c r="E4955" i="1"/>
  <c r="E4954" i="1"/>
  <c r="E4952" i="1"/>
  <c r="E4950" i="1"/>
  <c r="E4949" i="1"/>
  <c r="E4944" i="1"/>
  <c r="E4942" i="1"/>
  <c r="E4940" i="1"/>
  <c r="E4939" i="1"/>
  <c r="E4938" i="1"/>
  <c r="E4937" i="1"/>
  <c r="E4935" i="1"/>
  <c r="E4934" i="1"/>
  <c r="E4931" i="1"/>
  <c r="E4930" i="1"/>
  <c r="E4928" i="1"/>
  <c r="E4927" i="1"/>
  <c r="E4925" i="1"/>
  <c r="E4922" i="1"/>
  <c r="E4921" i="1"/>
  <c r="E4920" i="1"/>
  <c r="E4918" i="1"/>
  <c r="E4917" i="1"/>
  <c r="E4916" i="1"/>
  <c r="E4914" i="1"/>
  <c r="E4913" i="1"/>
  <c r="E4910" i="1"/>
  <c r="E4909" i="1"/>
  <c r="E4908" i="1"/>
  <c r="E4906" i="1"/>
  <c r="E4904" i="1"/>
  <c r="E4902" i="1"/>
  <c r="E4901" i="1"/>
  <c r="E4898" i="1"/>
  <c r="E4897" i="1"/>
  <c r="E4896" i="1"/>
  <c r="E4895" i="1"/>
  <c r="E4894" i="1"/>
  <c r="E4893" i="1"/>
  <c r="E4891" i="1"/>
  <c r="E4889" i="1"/>
  <c r="E4888" i="1"/>
  <c r="E4886" i="1"/>
  <c r="E4885" i="1"/>
  <c r="E4884" i="1"/>
  <c r="E4882" i="1"/>
  <c r="E4881" i="1"/>
  <c r="E4879" i="1"/>
  <c r="E4877" i="1"/>
  <c r="E4875" i="1"/>
  <c r="E4874" i="1"/>
  <c r="E4871" i="1"/>
  <c r="E4870" i="1"/>
  <c r="E4868" i="1"/>
  <c r="E4867" i="1"/>
  <c r="E4866" i="1"/>
  <c r="E4864" i="1"/>
  <c r="E4863" i="1"/>
  <c r="E4862" i="1"/>
  <c r="E4861" i="1"/>
  <c r="E4860" i="1"/>
  <c r="E4859" i="1"/>
  <c r="E4858" i="1"/>
  <c r="E4857" i="1"/>
  <c r="E4856" i="1"/>
  <c r="E4855" i="1"/>
  <c r="E4854" i="1"/>
  <c r="E4850" i="1"/>
  <c r="E4849" i="1"/>
  <c r="E4847" i="1"/>
  <c r="E4846" i="1"/>
  <c r="E4844" i="1"/>
  <c r="E4843" i="1"/>
  <c r="E4842" i="1"/>
  <c r="E4840" i="1"/>
  <c r="E4838" i="1"/>
  <c r="E4836" i="1"/>
  <c r="E4832" i="1"/>
  <c r="E4829" i="1"/>
  <c r="E4828" i="1"/>
  <c r="E4826" i="1"/>
  <c r="E4823" i="1"/>
  <c r="E4822" i="1"/>
  <c r="E4820" i="1"/>
  <c r="E4819" i="1"/>
  <c r="E4817" i="1"/>
  <c r="E4815" i="1"/>
  <c r="E4814" i="1"/>
  <c r="E4813" i="1"/>
  <c r="E4811" i="1"/>
  <c r="E4810" i="1"/>
  <c r="E4809" i="1"/>
  <c r="E4808" i="1"/>
  <c r="E4806" i="1"/>
  <c r="E4804" i="1"/>
  <c r="E4803" i="1"/>
  <c r="E4801" i="1"/>
  <c r="E4800" i="1"/>
  <c r="E4799" i="1"/>
  <c r="E4798" i="1"/>
  <c r="E4797" i="1"/>
  <c r="E4794" i="1"/>
  <c r="E4793" i="1"/>
  <c r="E4791" i="1"/>
  <c r="E4790" i="1"/>
  <c r="E4788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3" i="1"/>
  <c r="E4772" i="1"/>
  <c r="E4771" i="1"/>
  <c r="E4769" i="1"/>
  <c r="E4768" i="1"/>
  <c r="E4767" i="1"/>
  <c r="E4766" i="1"/>
  <c r="E4765" i="1"/>
  <c r="E4764" i="1"/>
  <c r="E4759" i="1"/>
  <c r="E4758" i="1"/>
  <c r="E4757" i="1"/>
  <c r="E4756" i="1"/>
  <c r="E4755" i="1"/>
  <c r="E4754" i="1"/>
  <c r="E4753" i="1"/>
  <c r="E4752" i="1"/>
  <c r="E4751" i="1"/>
  <c r="E4749" i="1"/>
  <c r="E4748" i="1"/>
  <c r="E4747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28" i="1"/>
  <c r="E4726" i="1"/>
  <c r="E4721" i="1"/>
  <c r="E4720" i="1"/>
  <c r="E4719" i="1"/>
  <c r="E4718" i="1"/>
  <c r="E4717" i="1"/>
  <c r="E4715" i="1"/>
  <c r="E4713" i="1"/>
  <c r="E4712" i="1"/>
  <c r="E4709" i="1"/>
  <c r="E4708" i="1"/>
  <c r="E4705" i="1"/>
  <c r="E4701" i="1"/>
  <c r="E4700" i="1"/>
  <c r="E4699" i="1"/>
  <c r="E4698" i="1"/>
  <c r="E4697" i="1"/>
  <c r="E4695" i="1"/>
  <c r="E4694" i="1"/>
  <c r="E4693" i="1"/>
  <c r="E4691" i="1"/>
  <c r="E4690" i="1"/>
  <c r="E4688" i="1"/>
  <c r="E4687" i="1"/>
  <c r="E4686" i="1"/>
  <c r="E4684" i="1"/>
  <c r="E4683" i="1"/>
  <c r="E4681" i="1"/>
  <c r="E4680" i="1"/>
  <c r="E4679" i="1"/>
  <c r="E4678" i="1"/>
  <c r="E4676" i="1"/>
  <c r="E4675" i="1"/>
  <c r="E4674" i="1"/>
  <c r="E4673" i="1"/>
  <c r="E4671" i="1"/>
  <c r="E4670" i="1"/>
  <c r="E4669" i="1"/>
  <c r="E4668" i="1"/>
  <c r="E4667" i="1"/>
  <c r="E4665" i="1"/>
  <c r="E4661" i="1"/>
  <c r="E4660" i="1"/>
  <c r="E4655" i="1"/>
  <c r="E4651" i="1"/>
  <c r="E4649" i="1"/>
  <c r="E4648" i="1"/>
  <c r="E4647" i="1"/>
  <c r="E4645" i="1"/>
  <c r="E4644" i="1"/>
  <c r="E4642" i="1"/>
  <c r="E4641" i="1"/>
  <c r="E4639" i="1"/>
  <c r="E4638" i="1"/>
  <c r="E4636" i="1"/>
  <c r="E4634" i="1"/>
  <c r="E4633" i="1"/>
  <c r="E4632" i="1"/>
  <c r="E4631" i="1"/>
  <c r="E4628" i="1"/>
  <c r="E4627" i="1"/>
  <c r="E4626" i="1"/>
  <c r="E4625" i="1"/>
  <c r="E4623" i="1"/>
  <c r="E4622" i="1"/>
  <c r="E4621" i="1"/>
  <c r="E4620" i="1"/>
  <c r="E4619" i="1"/>
  <c r="E4616" i="1"/>
  <c r="E4613" i="1"/>
  <c r="E4612" i="1"/>
  <c r="E4611" i="1"/>
  <c r="E4610" i="1"/>
  <c r="E4608" i="1"/>
  <c r="E4607" i="1"/>
  <c r="E4605" i="1"/>
  <c r="E4604" i="1"/>
  <c r="E4603" i="1"/>
  <c r="E4602" i="1"/>
  <c r="E4599" i="1"/>
  <c r="E4597" i="1"/>
  <c r="E4596" i="1"/>
  <c r="E4594" i="1"/>
  <c r="E4593" i="1"/>
  <c r="E4591" i="1"/>
  <c r="E4590" i="1"/>
  <c r="E4587" i="1"/>
  <c r="E4585" i="1"/>
  <c r="E4584" i="1"/>
  <c r="E4582" i="1"/>
  <c r="E4580" i="1"/>
  <c r="E4579" i="1"/>
  <c r="E4578" i="1"/>
  <c r="E4577" i="1"/>
  <c r="E4575" i="1"/>
  <c r="E4573" i="1"/>
  <c r="E4572" i="1"/>
  <c r="E4569" i="1"/>
  <c r="E4568" i="1"/>
  <c r="E4566" i="1"/>
  <c r="E4565" i="1"/>
  <c r="E4564" i="1"/>
  <c r="E4563" i="1"/>
  <c r="E4562" i="1"/>
  <c r="E4559" i="1"/>
  <c r="E4557" i="1"/>
  <c r="E4556" i="1"/>
  <c r="E4552" i="1"/>
  <c r="E4549" i="1"/>
  <c r="E4548" i="1"/>
  <c r="E4547" i="1"/>
  <c r="E4546" i="1"/>
  <c r="E4544" i="1"/>
  <c r="E4543" i="1"/>
  <c r="E4542" i="1"/>
  <c r="E4541" i="1"/>
  <c r="E4539" i="1"/>
  <c r="E4538" i="1"/>
  <c r="E4537" i="1"/>
  <c r="E4536" i="1"/>
  <c r="E4535" i="1"/>
  <c r="E4534" i="1"/>
  <c r="E4533" i="1"/>
  <c r="E4530" i="1"/>
  <c r="E4529" i="1"/>
  <c r="E4528" i="1"/>
  <c r="E4526" i="1"/>
  <c r="E4524" i="1"/>
  <c r="E4523" i="1"/>
  <c r="E4522" i="1"/>
  <c r="E4520" i="1"/>
  <c r="E4519" i="1"/>
  <c r="E4517" i="1"/>
  <c r="E4515" i="1"/>
  <c r="E4514" i="1"/>
  <c r="E4513" i="1"/>
  <c r="E4512" i="1"/>
  <c r="E4510" i="1"/>
  <c r="E4508" i="1"/>
  <c r="E4507" i="1"/>
  <c r="E4506" i="1"/>
  <c r="E4505" i="1"/>
  <c r="E4504" i="1"/>
  <c r="E4503" i="1"/>
  <c r="E4501" i="1"/>
  <c r="E4500" i="1"/>
  <c r="E4498" i="1"/>
  <c r="E4497" i="1"/>
  <c r="E4493" i="1"/>
  <c r="E4492" i="1"/>
  <c r="E4491" i="1"/>
  <c r="E4490" i="1"/>
  <c r="E4489" i="1"/>
  <c r="E4487" i="1"/>
  <c r="E4485" i="1"/>
  <c r="E4484" i="1"/>
  <c r="E4482" i="1"/>
  <c r="E4481" i="1"/>
  <c r="E4480" i="1"/>
  <c r="E4479" i="1"/>
  <c r="E4477" i="1"/>
  <c r="E4475" i="1"/>
  <c r="E4474" i="1"/>
  <c r="E4472" i="1"/>
  <c r="E4471" i="1"/>
  <c r="E4464" i="1"/>
  <c r="E4463" i="1"/>
  <c r="E4461" i="1"/>
  <c r="E4460" i="1"/>
  <c r="E4459" i="1"/>
  <c r="E4458" i="1"/>
  <c r="E4457" i="1"/>
  <c r="E4456" i="1"/>
  <c r="E4454" i="1"/>
  <c r="E4453" i="1"/>
  <c r="E4449" i="1"/>
  <c r="E4448" i="1"/>
  <c r="E4447" i="1"/>
  <c r="E4445" i="1"/>
  <c r="E4444" i="1"/>
  <c r="E4443" i="1"/>
  <c r="E4438" i="1"/>
  <c r="E4437" i="1"/>
  <c r="E4435" i="1"/>
  <c r="E4434" i="1"/>
  <c r="E4432" i="1"/>
  <c r="E4430" i="1"/>
  <c r="E4428" i="1"/>
  <c r="E4427" i="1"/>
  <c r="E4426" i="1"/>
  <c r="E4425" i="1"/>
  <c r="E4424" i="1"/>
  <c r="E4423" i="1"/>
  <c r="E4422" i="1"/>
  <c r="E4420" i="1"/>
  <c r="E4418" i="1"/>
  <c r="E4417" i="1"/>
  <c r="E4416" i="1"/>
  <c r="E4413" i="1"/>
  <c r="E4412" i="1"/>
  <c r="E4411" i="1"/>
  <c r="E4408" i="1"/>
  <c r="E4407" i="1"/>
  <c r="E4406" i="1"/>
  <c r="E4405" i="1"/>
  <c r="E4403" i="1"/>
  <c r="E4402" i="1"/>
  <c r="E4401" i="1"/>
  <c r="E4397" i="1"/>
  <c r="E4395" i="1"/>
  <c r="E4394" i="1"/>
  <c r="E4392" i="1"/>
  <c r="E4390" i="1"/>
  <c r="E4387" i="1"/>
  <c r="E4386" i="1"/>
  <c r="E4385" i="1"/>
  <c r="E4384" i="1"/>
  <c r="E4383" i="1"/>
  <c r="E4382" i="1"/>
  <c r="E4380" i="1"/>
  <c r="E4378" i="1"/>
  <c r="E4377" i="1"/>
  <c r="E4376" i="1"/>
  <c r="E4375" i="1"/>
  <c r="E4373" i="1"/>
  <c r="E4366" i="1"/>
  <c r="E4365" i="1"/>
  <c r="E4363" i="1"/>
  <c r="E4361" i="1"/>
  <c r="E4358" i="1"/>
  <c r="E4357" i="1"/>
  <c r="E4356" i="1"/>
  <c r="E4355" i="1"/>
  <c r="E4354" i="1"/>
  <c r="E4352" i="1"/>
  <c r="E4351" i="1"/>
  <c r="E4349" i="1"/>
  <c r="E4347" i="1"/>
  <c r="E4346" i="1"/>
  <c r="E4345" i="1"/>
  <c r="E4344" i="1"/>
  <c r="E4340" i="1"/>
  <c r="E4339" i="1"/>
  <c r="E4338" i="1"/>
  <c r="E4337" i="1"/>
  <c r="E4336" i="1"/>
  <c r="E4335" i="1"/>
  <c r="E4332" i="1"/>
  <c r="E4330" i="1"/>
  <c r="E4328" i="1"/>
  <c r="E4327" i="1"/>
  <c r="E4323" i="1"/>
  <c r="E4322" i="1"/>
  <c r="E4321" i="1"/>
  <c r="E4319" i="1"/>
  <c r="E4318" i="1"/>
  <c r="E4317" i="1"/>
  <c r="E4315" i="1"/>
  <c r="E4311" i="1"/>
  <c r="E4309" i="1"/>
  <c r="E4308" i="1"/>
  <c r="E4306" i="1"/>
  <c r="E4305" i="1"/>
  <c r="E4303" i="1"/>
  <c r="E4301" i="1"/>
  <c r="E4299" i="1"/>
  <c r="E4298" i="1"/>
  <c r="E4297" i="1"/>
  <c r="E4295" i="1"/>
  <c r="E4293" i="1"/>
  <c r="E4292" i="1"/>
  <c r="E4291" i="1"/>
  <c r="E4289" i="1"/>
  <c r="E4288" i="1"/>
  <c r="E4287" i="1"/>
  <c r="E4285" i="1"/>
  <c r="E4283" i="1"/>
  <c r="E4282" i="1"/>
  <c r="E4281" i="1"/>
  <c r="E4280" i="1"/>
  <c r="E4279" i="1"/>
  <c r="E4278" i="1"/>
  <c r="E4275" i="1"/>
  <c r="E4274" i="1"/>
  <c r="E4273" i="1"/>
  <c r="E4270" i="1"/>
  <c r="E4267" i="1"/>
  <c r="E4266" i="1"/>
  <c r="E4265" i="1"/>
  <c r="E4263" i="1"/>
  <c r="E4262" i="1"/>
  <c r="E4261" i="1"/>
  <c r="E4259" i="1"/>
  <c r="E4258" i="1"/>
  <c r="E4256" i="1"/>
  <c r="E4252" i="1"/>
  <c r="E4251" i="1"/>
  <c r="E4245" i="1"/>
  <c r="E4244" i="1"/>
  <c r="E4242" i="1"/>
  <c r="E4241" i="1"/>
  <c r="E4240" i="1"/>
  <c r="E4239" i="1"/>
  <c r="E4238" i="1"/>
  <c r="E4237" i="1"/>
  <c r="E4235" i="1"/>
  <c r="E4234" i="1"/>
  <c r="E4233" i="1"/>
  <c r="E4232" i="1"/>
  <c r="E4230" i="1"/>
  <c r="E4228" i="1"/>
  <c r="E4226" i="1"/>
  <c r="E4225" i="1"/>
  <c r="E4223" i="1"/>
  <c r="E4222" i="1"/>
  <c r="E4221" i="1"/>
  <c r="E4217" i="1"/>
  <c r="E4216" i="1"/>
  <c r="E4215" i="1"/>
  <c r="E4214" i="1"/>
  <c r="E4212" i="1"/>
  <c r="E4211" i="1"/>
  <c r="E4210" i="1"/>
  <c r="E4209" i="1"/>
  <c r="E4208" i="1"/>
  <c r="E4207" i="1"/>
  <c r="E4206" i="1"/>
  <c r="E4205" i="1"/>
  <c r="E4204" i="1"/>
  <c r="E4201" i="1"/>
  <c r="E4199" i="1"/>
  <c r="E4198" i="1"/>
  <c r="E4197" i="1"/>
  <c r="E4196" i="1"/>
  <c r="E4195" i="1"/>
  <c r="E4194" i="1"/>
  <c r="E4192" i="1"/>
  <c r="E4191" i="1"/>
  <c r="E4187" i="1"/>
  <c r="E4186" i="1"/>
  <c r="E4185" i="1"/>
  <c r="E4183" i="1"/>
  <c r="E4182" i="1"/>
  <c r="E4181" i="1"/>
  <c r="E4179" i="1"/>
  <c r="E4178" i="1"/>
  <c r="E4177" i="1"/>
  <c r="E4176" i="1"/>
  <c r="E4173" i="1"/>
  <c r="E4172" i="1"/>
  <c r="E4170" i="1"/>
  <c r="E4167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2" i="1"/>
  <c r="E4150" i="1"/>
  <c r="E4149" i="1"/>
  <c r="E4148" i="1"/>
  <c r="E4147" i="1"/>
  <c r="E4146" i="1"/>
  <c r="E4145" i="1"/>
  <c r="E4143" i="1"/>
  <c r="E4142" i="1"/>
  <c r="E4141" i="1"/>
  <c r="E4140" i="1"/>
  <c r="E4139" i="1"/>
  <c r="E4138" i="1"/>
  <c r="E4137" i="1"/>
  <c r="E4134" i="1"/>
  <c r="E4133" i="1"/>
  <c r="E4132" i="1"/>
  <c r="E4130" i="1"/>
  <c r="E4129" i="1"/>
  <c r="E4125" i="1"/>
  <c r="E4121" i="1"/>
  <c r="E4120" i="1"/>
  <c r="E4119" i="1"/>
  <c r="E4117" i="1"/>
  <c r="E4110" i="1"/>
  <c r="E4109" i="1"/>
  <c r="E4108" i="1"/>
  <c r="E4107" i="1"/>
  <c r="E4106" i="1"/>
  <c r="E4102" i="1"/>
  <c r="E4101" i="1"/>
  <c r="E4100" i="1"/>
  <c r="E4098" i="1"/>
  <c r="E4096" i="1"/>
  <c r="E4095" i="1"/>
  <c r="E4094" i="1"/>
  <c r="E4093" i="1"/>
  <c r="E4092" i="1"/>
  <c r="E4091" i="1"/>
  <c r="E4088" i="1"/>
  <c r="E4086" i="1"/>
  <c r="E4085" i="1"/>
  <c r="E4083" i="1"/>
  <c r="E4082" i="1"/>
  <c r="E4081" i="1"/>
  <c r="E4079" i="1"/>
  <c r="E4076" i="1"/>
  <c r="E4075" i="1"/>
  <c r="E4074" i="1"/>
  <c r="E4072" i="1"/>
  <c r="E4071" i="1"/>
  <c r="E4070" i="1"/>
  <c r="E4069" i="1"/>
  <c r="E4067" i="1"/>
  <c r="E4066" i="1"/>
  <c r="E4062" i="1"/>
  <c r="E4061" i="1"/>
  <c r="E4059" i="1"/>
  <c r="E4058" i="1"/>
  <c r="E4054" i="1"/>
  <c r="E4053" i="1"/>
  <c r="E4052" i="1"/>
  <c r="E4050" i="1"/>
  <c r="E4049" i="1"/>
  <c r="E4048" i="1"/>
  <c r="E4047" i="1"/>
  <c r="E4043" i="1"/>
  <c r="E4041" i="1"/>
  <c r="E4040" i="1"/>
  <c r="E4039" i="1"/>
  <c r="E4037" i="1"/>
  <c r="E4035" i="1"/>
  <c r="E4034" i="1"/>
  <c r="E4033" i="1"/>
  <c r="E4032" i="1"/>
  <c r="E4030" i="1"/>
  <c r="E4029" i="1"/>
  <c r="E4027" i="1"/>
  <c r="E4023" i="1"/>
  <c r="E4021" i="1"/>
  <c r="E4020" i="1"/>
  <c r="E4019" i="1"/>
  <c r="E4017" i="1"/>
  <c r="E4013" i="1"/>
  <c r="E4011" i="1"/>
  <c r="E4009" i="1"/>
  <c r="E4007" i="1"/>
  <c r="E4005" i="1"/>
  <c r="E4004" i="1"/>
  <c r="E4003" i="1"/>
  <c r="E4002" i="1"/>
  <c r="E4001" i="1"/>
  <c r="E4000" i="1"/>
  <c r="E3999" i="1"/>
  <c r="E3998" i="1"/>
  <c r="E3997" i="1"/>
  <c r="E3996" i="1"/>
  <c r="E3994" i="1"/>
  <c r="E3993" i="1"/>
  <c r="E3991" i="1"/>
  <c r="E3990" i="1"/>
  <c r="E3989" i="1"/>
  <c r="E3987" i="1"/>
  <c r="E3985" i="1"/>
  <c r="E3982" i="1"/>
  <c r="E3981" i="1"/>
  <c r="E3979" i="1"/>
  <c r="E3978" i="1"/>
  <c r="E3976" i="1"/>
  <c r="E3975" i="1"/>
  <c r="E3974" i="1"/>
  <c r="E3973" i="1"/>
  <c r="E3971" i="1"/>
  <c r="E3970" i="1"/>
  <c r="E3968" i="1"/>
  <c r="E3967" i="1"/>
  <c r="E3962" i="1"/>
  <c r="E3961" i="1"/>
  <c r="E3960" i="1"/>
  <c r="E3959" i="1"/>
  <c r="E3957" i="1"/>
  <c r="E3956" i="1"/>
  <c r="E3953" i="1"/>
  <c r="E3951" i="1"/>
  <c r="E3950" i="1"/>
  <c r="E3947" i="1"/>
  <c r="E3946" i="1"/>
  <c r="E3944" i="1"/>
  <c r="E3942" i="1"/>
  <c r="E3940" i="1"/>
  <c r="E3937" i="1"/>
  <c r="E3935" i="1"/>
  <c r="E3934" i="1"/>
  <c r="E3931" i="1"/>
  <c r="E3929" i="1"/>
  <c r="E3928" i="1"/>
  <c r="E3927" i="1"/>
  <c r="E3923" i="1"/>
  <c r="E3921" i="1"/>
  <c r="E3920" i="1"/>
  <c r="E3918" i="1"/>
  <c r="E3916" i="1"/>
  <c r="E3914" i="1"/>
  <c r="E3913" i="1"/>
  <c r="E3910" i="1"/>
  <c r="E3909" i="1"/>
  <c r="E3906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7" i="1"/>
  <c r="E3886" i="1"/>
  <c r="E3885" i="1"/>
  <c r="E3884" i="1"/>
  <c r="E3882" i="1"/>
  <c r="E3880" i="1"/>
  <c r="E3878" i="1"/>
  <c r="E3877" i="1"/>
  <c r="E3876" i="1"/>
  <c r="E3875" i="1"/>
  <c r="E3874" i="1"/>
  <c r="E3873" i="1"/>
  <c r="E3872" i="1"/>
  <c r="E3871" i="1"/>
  <c r="E3870" i="1"/>
  <c r="E3869" i="1"/>
  <c r="E3867" i="1"/>
  <c r="E3866" i="1"/>
  <c r="E3865" i="1"/>
  <c r="E3864" i="1"/>
  <c r="E3859" i="1"/>
  <c r="E3858" i="1"/>
  <c r="E3857" i="1"/>
  <c r="E3856" i="1"/>
  <c r="E3855" i="1"/>
  <c r="E3852" i="1"/>
  <c r="E3851" i="1"/>
  <c r="E3849" i="1"/>
  <c r="E3848" i="1"/>
  <c r="E3842" i="1"/>
  <c r="E3840" i="1"/>
  <c r="E3839" i="1"/>
  <c r="E3836" i="1"/>
  <c r="E3835" i="1"/>
  <c r="E3834" i="1"/>
  <c r="E3833" i="1"/>
  <c r="E3830" i="1"/>
  <c r="E3829" i="1"/>
  <c r="E3828" i="1"/>
  <c r="E3827" i="1"/>
  <c r="E3823" i="1"/>
  <c r="E3822" i="1"/>
  <c r="E3814" i="1"/>
  <c r="E3813" i="1"/>
  <c r="E3810" i="1"/>
  <c r="E3809" i="1"/>
  <c r="E3808" i="1"/>
  <c r="E3806" i="1"/>
  <c r="E3805" i="1"/>
  <c r="E3803" i="1"/>
  <c r="E3802" i="1"/>
  <c r="E3800" i="1"/>
  <c r="E3798" i="1"/>
  <c r="E3796" i="1"/>
  <c r="E3795" i="1"/>
  <c r="E3793" i="1"/>
  <c r="E3792" i="1"/>
  <c r="E3791" i="1"/>
  <c r="E3790" i="1"/>
  <c r="E3788" i="1"/>
  <c r="E3785" i="1"/>
  <c r="E3784" i="1"/>
  <c r="E3783" i="1"/>
  <c r="E3782" i="1"/>
  <c r="E3781" i="1"/>
  <c r="E3780" i="1"/>
  <c r="E3778" i="1"/>
  <c r="E3776" i="1"/>
  <c r="E3774" i="1"/>
  <c r="E3773" i="1"/>
  <c r="E3772" i="1"/>
  <c r="E3771" i="1"/>
  <c r="E3767" i="1"/>
  <c r="E3766" i="1"/>
  <c r="E3765" i="1"/>
  <c r="E3764" i="1"/>
  <c r="E3763" i="1"/>
  <c r="E3762" i="1"/>
  <c r="E3761" i="1"/>
  <c r="E3760" i="1"/>
  <c r="E3759" i="1"/>
  <c r="E3758" i="1"/>
  <c r="E3756" i="1"/>
  <c r="E3754" i="1"/>
  <c r="E3753" i="1"/>
  <c r="E3752" i="1"/>
  <c r="E3751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29" i="1"/>
  <c r="E3728" i="1"/>
  <c r="E3727" i="1"/>
  <c r="E3725" i="1"/>
  <c r="E3724" i="1"/>
  <c r="E3722" i="1"/>
  <c r="E3721" i="1"/>
  <c r="E3718" i="1"/>
  <c r="E3717" i="1"/>
  <c r="E3715" i="1"/>
  <c r="E3712" i="1"/>
  <c r="E3710" i="1"/>
  <c r="E3708" i="1"/>
  <c r="E3705" i="1"/>
  <c r="E3703" i="1"/>
  <c r="E3702" i="1"/>
  <c r="E3701" i="1"/>
  <c r="E3699" i="1"/>
  <c r="E3697" i="1"/>
  <c r="E3695" i="1"/>
  <c r="E3693" i="1"/>
  <c r="E3691" i="1"/>
  <c r="E3690" i="1"/>
  <c r="E3689" i="1"/>
  <c r="E3687" i="1"/>
  <c r="E3686" i="1"/>
  <c r="E3684" i="1"/>
  <c r="E3682" i="1"/>
  <c r="E3679" i="1"/>
  <c r="E3678" i="1"/>
  <c r="E3676" i="1"/>
  <c r="E3674" i="1"/>
  <c r="E3673" i="1"/>
  <c r="E3671" i="1"/>
  <c r="E3670" i="1"/>
  <c r="E3669" i="1"/>
  <c r="E3668" i="1"/>
  <c r="E3667" i="1"/>
  <c r="E3666" i="1"/>
  <c r="E3664" i="1"/>
  <c r="E3663" i="1"/>
  <c r="E3662" i="1"/>
  <c r="E3661" i="1"/>
  <c r="E3660" i="1"/>
  <c r="E3659" i="1"/>
  <c r="E3657" i="1"/>
  <c r="E3656" i="1"/>
  <c r="E3654" i="1"/>
  <c r="E3652" i="1"/>
  <c r="E3651" i="1"/>
  <c r="E3649" i="1"/>
  <c r="E3648" i="1"/>
  <c r="E3647" i="1"/>
  <c r="E3645" i="1"/>
  <c r="E3644" i="1"/>
  <c r="E3643" i="1"/>
  <c r="E3642" i="1"/>
  <c r="E3641" i="1"/>
  <c r="E3640" i="1"/>
  <c r="E3638" i="1"/>
  <c r="E3637" i="1"/>
  <c r="E3636" i="1"/>
  <c r="E3634" i="1"/>
  <c r="E3633" i="1"/>
  <c r="E3632" i="1"/>
  <c r="E3631" i="1"/>
  <c r="E3630" i="1"/>
  <c r="E3629" i="1"/>
  <c r="E3627" i="1"/>
  <c r="E3626" i="1"/>
  <c r="E3625" i="1"/>
  <c r="E3624" i="1"/>
  <c r="E3620" i="1"/>
  <c r="E3619" i="1"/>
  <c r="E3618" i="1"/>
  <c r="E3617" i="1"/>
  <c r="E3615" i="1"/>
  <c r="E3614" i="1"/>
  <c r="E3612" i="1"/>
  <c r="E3611" i="1"/>
  <c r="E3610" i="1"/>
  <c r="E3608" i="1"/>
  <c r="E3607" i="1"/>
  <c r="E3605" i="1"/>
  <c r="E3604" i="1"/>
  <c r="E3603" i="1"/>
  <c r="E3601" i="1"/>
  <c r="E3599" i="1"/>
  <c r="E3598" i="1"/>
  <c r="E3594" i="1"/>
  <c r="E3592" i="1"/>
  <c r="E3591" i="1"/>
  <c r="E3590" i="1"/>
  <c r="E3588" i="1"/>
  <c r="E3587" i="1"/>
  <c r="E3585" i="1"/>
  <c r="E3584" i="1"/>
  <c r="E3582" i="1"/>
  <c r="E3580" i="1"/>
  <c r="E3579" i="1"/>
  <c r="E3577" i="1"/>
  <c r="E3573" i="1"/>
  <c r="E3572" i="1"/>
  <c r="E3570" i="1"/>
  <c r="E3569" i="1"/>
  <c r="E3568" i="1"/>
  <c r="E3565" i="1"/>
  <c r="E3563" i="1"/>
  <c r="E3562" i="1"/>
  <c r="E3561" i="1"/>
  <c r="E3556" i="1"/>
  <c r="E3555" i="1"/>
  <c r="E3554" i="1"/>
  <c r="E3552" i="1"/>
  <c r="E3551" i="1"/>
  <c r="E3550" i="1"/>
  <c r="E3545" i="1"/>
  <c r="E3544" i="1"/>
  <c r="E3543" i="1"/>
  <c r="E3542" i="1"/>
  <c r="E3541" i="1"/>
  <c r="E3540" i="1"/>
  <c r="E3539" i="1"/>
  <c r="E3537" i="1"/>
  <c r="E3536" i="1"/>
  <c r="E3535" i="1"/>
  <c r="E3534" i="1"/>
  <c r="E3533" i="1"/>
  <c r="E3531" i="1"/>
  <c r="E3529" i="1"/>
  <c r="E3527" i="1"/>
  <c r="E3525" i="1"/>
  <c r="E3524" i="1"/>
  <c r="E3521" i="1"/>
  <c r="E3516" i="1"/>
  <c r="E3515" i="1"/>
  <c r="E3514" i="1"/>
  <c r="E3513" i="1"/>
  <c r="E3511" i="1"/>
  <c r="E3509" i="1"/>
  <c r="E3508" i="1"/>
  <c r="E3506" i="1"/>
  <c r="E3505" i="1"/>
  <c r="E3504" i="1"/>
  <c r="E3501" i="1"/>
  <c r="E3500" i="1"/>
  <c r="E3498" i="1"/>
  <c r="E3497" i="1"/>
  <c r="E3494" i="1"/>
  <c r="E3493" i="1"/>
  <c r="E3492" i="1"/>
  <c r="E3491" i="1"/>
  <c r="E3490" i="1"/>
  <c r="E3489" i="1"/>
  <c r="E3487" i="1"/>
  <c r="E3486" i="1"/>
  <c r="E3485" i="1"/>
  <c r="E3484" i="1"/>
  <c r="E3483" i="1"/>
  <c r="E3481" i="1"/>
  <c r="E3478" i="1"/>
  <c r="E3477" i="1"/>
  <c r="E3476" i="1"/>
  <c r="E3474" i="1"/>
  <c r="E3473" i="1"/>
  <c r="E3472" i="1"/>
  <c r="E3468" i="1"/>
  <c r="E3467" i="1"/>
  <c r="E3466" i="1"/>
  <c r="E3465" i="1"/>
  <c r="E3463" i="1"/>
  <c r="E3462" i="1"/>
  <c r="E3460" i="1"/>
  <c r="E3459" i="1"/>
  <c r="E3458" i="1"/>
  <c r="E3456" i="1"/>
  <c r="E3455" i="1"/>
  <c r="E3453" i="1"/>
  <c r="E3452" i="1"/>
  <c r="E3451" i="1"/>
  <c r="E3449" i="1"/>
  <c r="E3448" i="1"/>
  <c r="E3446" i="1"/>
  <c r="E3445" i="1"/>
  <c r="E3444" i="1"/>
  <c r="E3441" i="1"/>
  <c r="E3440" i="1"/>
  <c r="E3439" i="1"/>
  <c r="E3438" i="1"/>
  <c r="E3436" i="1"/>
  <c r="E3435" i="1"/>
  <c r="E3433" i="1"/>
  <c r="E3431" i="1"/>
  <c r="E3430" i="1"/>
  <c r="E3427" i="1"/>
  <c r="E3426" i="1"/>
  <c r="E3422" i="1"/>
  <c r="E3421" i="1"/>
  <c r="E3418" i="1"/>
  <c r="E3417" i="1"/>
  <c r="E3414" i="1"/>
  <c r="E3413" i="1"/>
  <c r="E3412" i="1"/>
  <c r="E3411" i="1"/>
  <c r="E3410" i="1"/>
  <c r="E3408" i="1"/>
  <c r="E3407" i="1"/>
  <c r="E3406" i="1"/>
  <c r="E3405" i="1"/>
  <c r="E3404" i="1"/>
  <c r="E3403" i="1"/>
  <c r="E3402" i="1"/>
  <c r="E3400" i="1"/>
  <c r="E3399" i="1"/>
  <c r="E3398" i="1"/>
  <c r="E3397" i="1"/>
  <c r="E3396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79" i="1"/>
  <c r="E3377" i="1"/>
  <c r="E3376" i="1"/>
  <c r="E3374" i="1"/>
  <c r="E3373" i="1"/>
  <c r="E3372" i="1"/>
  <c r="E3370" i="1"/>
  <c r="E3369" i="1"/>
  <c r="E3367" i="1"/>
  <c r="E3366" i="1"/>
  <c r="E3365" i="1"/>
  <c r="E3363" i="1"/>
  <c r="E3362" i="1"/>
  <c r="E3360" i="1"/>
  <c r="E3359" i="1"/>
  <c r="E3358" i="1"/>
  <c r="E3353" i="1"/>
  <c r="E3352" i="1"/>
  <c r="E3351" i="1"/>
  <c r="E3350" i="1"/>
  <c r="E3349" i="1"/>
  <c r="E3348" i="1"/>
  <c r="E3347" i="1"/>
  <c r="E3346" i="1"/>
  <c r="E3345" i="1"/>
  <c r="E3343" i="1"/>
  <c r="E3341" i="1"/>
  <c r="E3340" i="1"/>
  <c r="E3339" i="1"/>
  <c r="E3338" i="1"/>
  <c r="E3337" i="1"/>
  <c r="E3336" i="1"/>
  <c r="E3335" i="1"/>
  <c r="E3334" i="1"/>
  <c r="E3333" i="1"/>
  <c r="E3331" i="1"/>
  <c r="E3330" i="1"/>
  <c r="E3329" i="1"/>
  <c r="E3328" i="1"/>
  <c r="E3327" i="1"/>
  <c r="E3326" i="1"/>
  <c r="E3324" i="1"/>
  <c r="E3323" i="1"/>
  <c r="E3322" i="1"/>
  <c r="E3321" i="1"/>
  <c r="E3320" i="1"/>
  <c r="E3319" i="1"/>
  <c r="E3317" i="1"/>
  <c r="E3316" i="1"/>
  <c r="E3315" i="1"/>
  <c r="E3314" i="1"/>
  <c r="E3313" i="1"/>
  <c r="E3312" i="1"/>
  <c r="E3311" i="1"/>
  <c r="E3309" i="1"/>
  <c r="E3308" i="1"/>
  <c r="E3307" i="1"/>
  <c r="E3305" i="1"/>
  <c r="E3304" i="1"/>
  <c r="E3303" i="1"/>
  <c r="E3302" i="1"/>
  <c r="E3301" i="1"/>
  <c r="E3300" i="1"/>
  <c r="E3299" i="1"/>
  <c r="E3297" i="1"/>
  <c r="E3296" i="1"/>
  <c r="E3295" i="1"/>
  <c r="E3294" i="1"/>
  <c r="E3293" i="1"/>
  <c r="E3292" i="1"/>
  <c r="E3291" i="1"/>
  <c r="E3290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1" i="1"/>
  <c r="E3270" i="1"/>
  <c r="E3269" i="1"/>
  <c r="E3268" i="1"/>
  <c r="E3267" i="1"/>
  <c r="E3266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0" i="1"/>
  <c r="E3245" i="1"/>
  <c r="E3244" i="1"/>
  <c r="E3243" i="1"/>
  <c r="E3242" i="1"/>
  <c r="E3241" i="1"/>
  <c r="E3240" i="1"/>
  <c r="E3238" i="1"/>
  <c r="E3237" i="1"/>
  <c r="E3235" i="1"/>
  <c r="E3234" i="1"/>
  <c r="E3233" i="1"/>
  <c r="E3232" i="1"/>
  <c r="E3230" i="1"/>
  <c r="E3227" i="1"/>
  <c r="E3226" i="1"/>
  <c r="E3225" i="1"/>
  <c r="E3224" i="1"/>
  <c r="E3222" i="1"/>
  <c r="E3221" i="1"/>
  <c r="E3219" i="1"/>
  <c r="E3218" i="1"/>
  <c r="E3217" i="1"/>
  <c r="E3215" i="1"/>
  <c r="E3213" i="1"/>
  <c r="E3211" i="1"/>
  <c r="E3210" i="1"/>
  <c r="E3208" i="1"/>
  <c r="E3204" i="1"/>
  <c r="E3203" i="1"/>
  <c r="E3202" i="1"/>
  <c r="E3201" i="1"/>
  <c r="E3200" i="1"/>
  <c r="E3199" i="1"/>
  <c r="E3196" i="1"/>
  <c r="E3195" i="1"/>
  <c r="E3193" i="1"/>
  <c r="E3192" i="1"/>
  <c r="E3191" i="1"/>
  <c r="E3190" i="1"/>
  <c r="E3189" i="1"/>
  <c r="E3186" i="1"/>
  <c r="E3185" i="1"/>
  <c r="E3184" i="1"/>
  <c r="E3182" i="1"/>
  <c r="E3181" i="1"/>
  <c r="E3179" i="1"/>
  <c r="E3178" i="1"/>
  <c r="E3177" i="1"/>
  <c r="E3176" i="1"/>
  <c r="E3174" i="1"/>
  <c r="E3173" i="1"/>
  <c r="E3172" i="1"/>
  <c r="E3169" i="1"/>
  <c r="E3168" i="1"/>
  <c r="E3167" i="1"/>
  <c r="E3165" i="1"/>
  <c r="E3163" i="1"/>
  <c r="E3160" i="1"/>
  <c r="E3159" i="1"/>
  <c r="E3158" i="1"/>
  <c r="E3156" i="1"/>
  <c r="E3153" i="1"/>
  <c r="E3151" i="1"/>
  <c r="E3149" i="1"/>
  <c r="E3148" i="1"/>
  <c r="E3147" i="1"/>
  <c r="E3146" i="1"/>
  <c r="E3145" i="1"/>
  <c r="E3142" i="1"/>
  <c r="E3138" i="1"/>
  <c r="E3137" i="1"/>
  <c r="E3135" i="1"/>
  <c r="E3134" i="1"/>
  <c r="E3133" i="1"/>
  <c r="E3131" i="1"/>
  <c r="E3130" i="1"/>
  <c r="E3128" i="1"/>
  <c r="E3125" i="1"/>
  <c r="E3123" i="1"/>
  <c r="E3121" i="1"/>
  <c r="E3120" i="1"/>
  <c r="E3119" i="1"/>
  <c r="E3117" i="1"/>
  <c r="E3114" i="1"/>
  <c r="E3113" i="1"/>
  <c r="E3112" i="1"/>
  <c r="E3110" i="1"/>
  <c r="E3107" i="1"/>
  <c r="E3106" i="1"/>
  <c r="E3104" i="1"/>
  <c r="E3103" i="1"/>
  <c r="E3101" i="1"/>
  <c r="E3100" i="1"/>
  <c r="E3099" i="1"/>
  <c r="E3098" i="1"/>
  <c r="E3096" i="1"/>
  <c r="E3094" i="1"/>
  <c r="E3093" i="1"/>
  <c r="E3091" i="1"/>
  <c r="E3090" i="1"/>
  <c r="E3089" i="1"/>
  <c r="E3088" i="1"/>
  <c r="E3086" i="1"/>
  <c r="E3084" i="1"/>
  <c r="E3082" i="1"/>
  <c r="E3081" i="1"/>
  <c r="E3080" i="1"/>
  <c r="E3079" i="1"/>
  <c r="E3078" i="1"/>
  <c r="E3075" i="1"/>
  <c r="E3073" i="1"/>
  <c r="E3072" i="1"/>
  <c r="E3071" i="1"/>
  <c r="E3070" i="1"/>
  <c r="E3069" i="1"/>
  <c r="E3066" i="1"/>
  <c r="E3064" i="1"/>
  <c r="E3063" i="1"/>
  <c r="E3061" i="1"/>
  <c r="E3059" i="1"/>
  <c r="E3057" i="1"/>
  <c r="E3056" i="1"/>
  <c r="E3054" i="1"/>
  <c r="E3053" i="1"/>
  <c r="E3052" i="1"/>
  <c r="E3049" i="1"/>
  <c r="E3047" i="1"/>
  <c r="E3046" i="1"/>
  <c r="E3044" i="1"/>
  <c r="E3043" i="1"/>
  <c r="E3042" i="1"/>
  <c r="E3041" i="1"/>
  <c r="E3039" i="1"/>
  <c r="E3038" i="1"/>
  <c r="E3037" i="1"/>
  <c r="E3036" i="1"/>
  <c r="E3034" i="1"/>
  <c r="E3033" i="1"/>
  <c r="E3031" i="1"/>
  <c r="E3026" i="1"/>
  <c r="E3024" i="1"/>
  <c r="E3023" i="1"/>
  <c r="E3019" i="1"/>
  <c r="E3017" i="1"/>
  <c r="E3016" i="1"/>
  <c r="E3015" i="1"/>
  <c r="E3014" i="1"/>
  <c r="E3012" i="1"/>
  <c r="E3009" i="1"/>
  <c r="E3007" i="1"/>
  <c r="E3005" i="1"/>
  <c r="E3004" i="1"/>
  <c r="E3001" i="1"/>
  <c r="E3000" i="1"/>
  <c r="E2999" i="1"/>
  <c r="E2998" i="1"/>
  <c r="E2995" i="1"/>
  <c r="E2993" i="1"/>
  <c r="E2992" i="1"/>
  <c r="E2989" i="1"/>
  <c r="E2988" i="1"/>
  <c r="E2987" i="1"/>
  <c r="E2986" i="1"/>
  <c r="E2985" i="1"/>
  <c r="E2984" i="1"/>
  <c r="E2981" i="1"/>
  <c r="E2978" i="1"/>
  <c r="E2973" i="1"/>
  <c r="E2972" i="1"/>
  <c r="E2970" i="1"/>
  <c r="E2969" i="1"/>
  <c r="E2968" i="1"/>
  <c r="E2967" i="1"/>
  <c r="E2966" i="1"/>
  <c r="E2963" i="1"/>
  <c r="E2962" i="1"/>
  <c r="E2961" i="1"/>
  <c r="E2960" i="1"/>
  <c r="E2954" i="1"/>
  <c r="E2953" i="1"/>
  <c r="E2952" i="1"/>
  <c r="E2951" i="1"/>
  <c r="E2948" i="1"/>
  <c r="E2946" i="1"/>
  <c r="E2945" i="1"/>
  <c r="E2944" i="1"/>
  <c r="E2942" i="1"/>
  <c r="E2941" i="1"/>
  <c r="E2940" i="1"/>
  <c r="E2937" i="1"/>
  <c r="E2935" i="1"/>
  <c r="E2934" i="1"/>
  <c r="E2933" i="1"/>
  <c r="E2932" i="1"/>
  <c r="E2930" i="1"/>
  <c r="E2928" i="1"/>
  <c r="E2926" i="1"/>
  <c r="E2925" i="1"/>
  <c r="E2921" i="1"/>
  <c r="E2920" i="1"/>
  <c r="E2918" i="1"/>
  <c r="E2917" i="1"/>
  <c r="E2916" i="1"/>
  <c r="E2915" i="1"/>
  <c r="E2912" i="1"/>
  <c r="E2911" i="1"/>
  <c r="E2908" i="1"/>
  <c r="E2906" i="1"/>
  <c r="E2905" i="1"/>
  <c r="E2902" i="1"/>
  <c r="E2898" i="1"/>
  <c r="E2896" i="1"/>
  <c r="E2893" i="1"/>
  <c r="E2892" i="1"/>
  <c r="E2891" i="1"/>
  <c r="E2890" i="1"/>
  <c r="E2887" i="1"/>
  <c r="E2886" i="1"/>
  <c r="E2885" i="1"/>
  <c r="E2883" i="1"/>
  <c r="E2882" i="1"/>
  <c r="E2881" i="1"/>
  <c r="E2880" i="1"/>
  <c r="E2879" i="1"/>
  <c r="E2878" i="1"/>
  <c r="E2875" i="1"/>
  <c r="E2873" i="1"/>
  <c r="E2869" i="1"/>
  <c r="E2868" i="1"/>
  <c r="E2865" i="1"/>
  <c r="E2864" i="1"/>
  <c r="E2862" i="1"/>
  <c r="E2861" i="1"/>
  <c r="E2860" i="1"/>
  <c r="E2858" i="1"/>
  <c r="E2855" i="1"/>
  <c r="E2854" i="1"/>
  <c r="E2851" i="1"/>
  <c r="E2848" i="1"/>
  <c r="E2847" i="1"/>
  <c r="E2846" i="1"/>
  <c r="E2844" i="1"/>
  <c r="E2840" i="1"/>
  <c r="E2838" i="1"/>
  <c r="E2837" i="1"/>
  <c r="E2836" i="1"/>
  <c r="E2835" i="1"/>
  <c r="E2834" i="1"/>
  <c r="E2833" i="1"/>
  <c r="E2830" i="1"/>
  <c r="E2828" i="1"/>
  <c r="E2826" i="1"/>
  <c r="E2825" i="1"/>
  <c r="E2824" i="1"/>
  <c r="E2822" i="1"/>
  <c r="E2821" i="1"/>
  <c r="E2818" i="1"/>
  <c r="E2817" i="1"/>
  <c r="E2814" i="1"/>
  <c r="E2813" i="1"/>
  <c r="E2812" i="1"/>
  <c r="E2811" i="1"/>
  <c r="E2809" i="1"/>
  <c r="E2806" i="1"/>
  <c r="E2805" i="1"/>
  <c r="E2804" i="1"/>
  <c r="E2802" i="1"/>
  <c r="E2801" i="1"/>
  <c r="E2796" i="1"/>
  <c r="E2795" i="1"/>
  <c r="E2794" i="1"/>
  <c r="E2793" i="1"/>
  <c r="E2791" i="1"/>
  <c r="E2789" i="1"/>
  <c r="E2788" i="1"/>
  <c r="E2786" i="1"/>
  <c r="E2785" i="1"/>
  <c r="E2784" i="1"/>
  <c r="E2783" i="1"/>
  <c r="E2782" i="1"/>
  <c r="E2781" i="1"/>
  <c r="E2779" i="1"/>
  <c r="E2777" i="1"/>
  <c r="E2775" i="1"/>
  <c r="E2774" i="1"/>
  <c r="E2773" i="1"/>
  <c r="E2772" i="1"/>
  <c r="E2769" i="1"/>
  <c r="E2767" i="1"/>
  <c r="E2765" i="1"/>
  <c r="E2764" i="1"/>
  <c r="E2763" i="1"/>
  <c r="E2762" i="1"/>
  <c r="E2759" i="1"/>
  <c r="E2754" i="1"/>
  <c r="E2753" i="1"/>
  <c r="E2751" i="1"/>
  <c r="E2750" i="1"/>
  <c r="E2748" i="1"/>
  <c r="E2747" i="1"/>
  <c r="E2745" i="1"/>
  <c r="E2744" i="1"/>
  <c r="E2742" i="1"/>
  <c r="E2741" i="1"/>
  <c r="E2740" i="1"/>
  <c r="E2739" i="1"/>
  <c r="E2738" i="1"/>
  <c r="E2737" i="1"/>
  <c r="E2735" i="1"/>
  <c r="E2734" i="1"/>
  <c r="E2732" i="1"/>
  <c r="E2728" i="1"/>
  <c r="E2727" i="1"/>
  <c r="E2726" i="1"/>
  <c r="E2725" i="1"/>
  <c r="E2724" i="1"/>
  <c r="E2722" i="1"/>
  <c r="E2719" i="1"/>
  <c r="E2718" i="1"/>
  <c r="E2716" i="1"/>
  <c r="E2715" i="1"/>
  <c r="E2714" i="1"/>
  <c r="E2713" i="1"/>
  <c r="E2712" i="1"/>
  <c r="E2711" i="1"/>
  <c r="E2710" i="1"/>
  <c r="E2709" i="1"/>
  <c r="E2707" i="1"/>
  <c r="E2706" i="1"/>
  <c r="E2705" i="1"/>
  <c r="E2704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89" i="1"/>
  <c r="E2688" i="1"/>
  <c r="E2686" i="1"/>
  <c r="E2685" i="1"/>
  <c r="E2681" i="1"/>
  <c r="E2679" i="1"/>
  <c r="E2677" i="1"/>
  <c r="E2676" i="1"/>
  <c r="E2675" i="1"/>
  <c r="E2673" i="1"/>
  <c r="E2671" i="1"/>
  <c r="E2670" i="1"/>
  <c r="E2669" i="1"/>
  <c r="E2668" i="1"/>
  <c r="E2667" i="1"/>
  <c r="E2665" i="1"/>
  <c r="E2664" i="1"/>
  <c r="E2663" i="1"/>
  <c r="E2662" i="1"/>
  <c r="E2661" i="1"/>
  <c r="E2660" i="1"/>
  <c r="E2659" i="1"/>
  <c r="E2658" i="1"/>
  <c r="E2656" i="1"/>
  <c r="E2652" i="1"/>
  <c r="E2651" i="1"/>
  <c r="E2650" i="1"/>
  <c r="E2649" i="1"/>
  <c r="E2648" i="1"/>
  <c r="E2646" i="1"/>
  <c r="E2644" i="1"/>
  <c r="E2641" i="1"/>
  <c r="E2639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4" i="1"/>
  <c r="E2623" i="1"/>
  <c r="E2622" i="1"/>
  <c r="E2620" i="1"/>
  <c r="E2619" i="1"/>
  <c r="E2617" i="1"/>
  <c r="E2616" i="1"/>
  <c r="E2615" i="1"/>
  <c r="E2614" i="1"/>
  <c r="E2611" i="1"/>
  <c r="E2610" i="1"/>
  <c r="E2609" i="1"/>
  <c r="E2608" i="1"/>
  <c r="E2607" i="1"/>
  <c r="E2606" i="1"/>
  <c r="E2605" i="1"/>
  <c r="E2604" i="1"/>
  <c r="E2603" i="1"/>
  <c r="E2601" i="1"/>
  <c r="E2599" i="1"/>
  <c r="E2598" i="1"/>
  <c r="E2595" i="1"/>
  <c r="E2594" i="1"/>
  <c r="E2593" i="1"/>
  <c r="E2592" i="1"/>
  <c r="E2591" i="1"/>
  <c r="E2590" i="1"/>
  <c r="E2588" i="1"/>
  <c r="E2586" i="1"/>
  <c r="E2585" i="1"/>
  <c r="E2583" i="1"/>
  <c r="E2582" i="1"/>
  <c r="E2581" i="1"/>
  <c r="E2579" i="1"/>
  <c r="E2577" i="1"/>
  <c r="E2575" i="1"/>
  <c r="E2573" i="1"/>
  <c r="E2572" i="1"/>
  <c r="E2571" i="1"/>
  <c r="E2570" i="1"/>
  <c r="E2568" i="1"/>
  <c r="E2567" i="1"/>
  <c r="E2566" i="1"/>
  <c r="E2565" i="1"/>
  <c r="E2564" i="1"/>
  <c r="E2563" i="1"/>
  <c r="E2561" i="1"/>
  <c r="E2560" i="1"/>
  <c r="E2559" i="1"/>
  <c r="E2558" i="1"/>
  <c r="E2555" i="1"/>
  <c r="E2554" i="1"/>
  <c r="E2553" i="1"/>
  <c r="E2552" i="1"/>
  <c r="E2550" i="1"/>
  <c r="E2548" i="1"/>
  <c r="E2546" i="1"/>
  <c r="E2545" i="1"/>
  <c r="E2544" i="1"/>
  <c r="E2542" i="1"/>
  <c r="E2540" i="1"/>
  <c r="E2539" i="1"/>
  <c r="E2538" i="1"/>
  <c r="E2536" i="1"/>
  <c r="E2535" i="1"/>
  <c r="E2534" i="1"/>
  <c r="E2533" i="1"/>
  <c r="E2532" i="1"/>
  <c r="E2531" i="1"/>
  <c r="E2530" i="1"/>
  <c r="E2527" i="1"/>
  <c r="E2524" i="1"/>
  <c r="E2523" i="1"/>
  <c r="E2522" i="1"/>
  <c r="E2521" i="1"/>
  <c r="E2520" i="1"/>
  <c r="E2519" i="1"/>
  <c r="E2518" i="1"/>
  <c r="E2517" i="1"/>
  <c r="E2516" i="1"/>
  <c r="E2515" i="1"/>
  <c r="E2514" i="1"/>
  <c r="E2512" i="1"/>
  <c r="E2510" i="1"/>
  <c r="E2509" i="1"/>
  <c r="E2508" i="1"/>
  <c r="E2507" i="1"/>
  <c r="E2506" i="1"/>
  <c r="E2505" i="1"/>
  <c r="E2504" i="1"/>
  <c r="E2503" i="1"/>
  <c r="E2502" i="1"/>
  <c r="E2501" i="1"/>
  <c r="E2500" i="1"/>
  <c r="E2498" i="1"/>
  <c r="E2496" i="1"/>
  <c r="E2495" i="1"/>
  <c r="E2494" i="1"/>
  <c r="E2493" i="1"/>
  <c r="E2492" i="1"/>
  <c r="E2491" i="1"/>
  <c r="E2490" i="1"/>
  <c r="E2489" i="1"/>
  <c r="E2488" i="1"/>
  <c r="E2487" i="1"/>
  <c r="E2484" i="1"/>
  <c r="E2481" i="1"/>
  <c r="E2480" i="1"/>
  <c r="E2477" i="1"/>
  <c r="E2476" i="1"/>
  <c r="E2474" i="1"/>
  <c r="E2473" i="1"/>
  <c r="E2472" i="1"/>
  <c r="E2470" i="1"/>
  <c r="E2469" i="1"/>
  <c r="E2468" i="1"/>
  <c r="E2467" i="1"/>
  <c r="E2466" i="1"/>
  <c r="E2465" i="1"/>
  <c r="E2464" i="1"/>
  <c r="E2462" i="1"/>
  <c r="E2460" i="1"/>
  <c r="E2459" i="1"/>
  <c r="E2458" i="1"/>
  <c r="E2457" i="1"/>
  <c r="E2456" i="1"/>
  <c r="E2455" i="1"/>
  <c r="E2454" i="1"/>
  <c r="E2453" i="1"/>
  <c r="E2452" i="1"/>
  <c r="E2450" i="1"/>
  <c r="E2449" i="1"/>
  <c r="E2448" i="1"/>
  <c r="E2447" i="1"/>
  <c r="E2446" i="1"/>
  <c r="E2444" i="1"/>
  <c r="E2443" i="1"/>
  <c r="E2441" i="1"/>
  <c r="E2439" i="1"/>
  <c r="E2437" i="1"/>
  <c r="E2435" i="1"/>
  <c r="E2434" i="1"/>
  <c r="E2433" i="1"/>
  <c r="E2431" i="1"/>
  <c r="E2430" i="1"/>
  <c r="E2426" i="1"/>
  <c r="E2423" i="1"/>
  <c r="E2422" i="1"/>
  <c r="E2419" i="1"/>
  <c r="E2417" i="1"/>
  <c r="E2416" i="1"/>
  <c r="E2415" i="1"/>
  <c r="E2414" i="1"/>
  <c r="E2413" i="1"/>
  <c r="E2412" i="1"/>
  <c r="E2411" i="1"/>
  <c r="E2410" i="1"/>
  <c r="E2409" i="1"/>
  <c r="E2405" i="1"/>
  <c r="E2404" i="1"/>
  <c r="E2403" i="1"/>
  <c r="E2402" i="1"/>
  <c r="E2400" i="1"/>
  <c r="E2399" i="1"/>
  <c r="E2398" i="1"/>
  <c r="E2395" i="1"/>
  <c r="E2394" i="1"/>
  <c r="E2393" i="1"/>
  <c r="E2392" i="1"/>
  <c r="E2391" i="1"/>
  <c r="E2388" i="1"/>
  <c r="E2386" i="1"/>
  <c r="E2385" i="1"/>
  <c r="E2384" i="1"/>
  <c r="E2383" i="1"/>
  <c r="E2380" i="1"/>
  <c r="E2379" i="1"/>
  <c r="E2373" i="1"/>
  <c r="E2372" i="1"/>
  <c r="E2370" i="1"/>
  <c r="E2366" i="1"/>
  <c r="E2365" i="1"/>
  <c r="E2364" i="1"/>
  <c r="E2363" i="1"/>
  <c r="E2361" i="1"/>
  <c r="E2358" i="1"/>
  <c r="E2356" i="1"/>
  <c r="E2355" i="1"/>
  <c r="E2354" i="1"/>
  <c r="E2350" i="1"/>
  <c r="E2347" i="1"/>
  <c r="E2344" i="1"/>
  <c r="E2343" i="1"/>
  <c r="E2341" i="1"/>
  <c r="E2340" i="1"/>
  <c r="E2339" i="1"/>
  <c r="E2336" i="1"/>
  <c r="E2335" i="1"/>
  <c r="E2332" i="1"/>
  <c r="E2328" i="1"/>
  <c r="E2326" i="1"/>
  <c r="E2325" i="1"/>
  <c r="E2323" i="1"/>
  <c r="E2322" i="1"/>
  <c r="E2320" i="1"/>
  <c r="E2319" i="1"/>
  <c r="E2318" i="1"/>
  <c r="E2317" i="1"/>
  <c r="E2314" i="1"/>
  <c r="E2313" i="1"/>
  <c r="E2312" i="1"/>
  <c r="E2311" i="1"/>
  <c r="E2309" i="1"/>
  <c r="E2307" i="1"/>
  <c r="E2306" i="1"/>
  <c r="E2305" i="1"/>
  <c r="E2303" i="1"/>
  <c r="E2301" i="1"/>
  <c r="E2300" i="1"/>
  <c r="E2298" i="1"/>
  <c r="E2295" i="1"/>
  <c r="E2294" i="1"/>
  <c r="E2293" i="1"/>
  <c r="E2292" i="1"/>
  <c r="E2291" i="1"/>
  <c r="E2289" i="1"/>
  <c r="E2286" i="1"/>
  <c r="E2285" i="1"/>
  <c r="E2284" i="1"/>
  <c r="E2283" i="1"/>
  <c r="E2282" i="1"/>
  <c r="E2281" i="1"/>
  <c r="E2279" i="1"/>
  <c r="E2278" i="1"/>
  <c r="E2277" i="1"/>
  <c r="E2275" i="1"/>
  <c r="E2274" i="1"/>
  <c r="E2273" i="1"/>
  <c r="E2272" i="1"/>
  <c r="E2270" i="1"/>
  <c r="E2269" i="1"/>
  <c r="E2267" i="1"/>
  <c r="E2266" i="1"/>
  <c r="E2265" i="1"/>
  <c r="E2264" i="1"/>
  <c r="E2263" i="1"/>
  <c r="E2262" i="1"/>
  <c r="E2261" i="1"/>
  <c r="E2258" i="1"/>
  <c r="E2257" i="1"/>
  <c r="E2256" i="1"/>
  <c r="E2255" i="1"/>
  <c r="E2254" i="1"/>
  <c r="E2252" i="1"/>
  <c r="E2251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6" i="1"/>
  <c r="E2235" i="1"/>
  <c r="E2234" i="1"/>
  <c r="E2233" i="1"/>
  <c r="E2232" i="1"/>
  <c r="E2230" i="1"/>
  <c r="E2225" i="1"/>
  <c r="E2224" i="1"/>
  <c r="E2223" i="1"/>
  <c r="E2220" i="1"/>
  <c r="E2219" i="1"/>
  <c r="E2217" i="1"/>
  <c r="E2216" i="1"/>
  <c r="E2213" i="1"/>
  <c r="E2210" i="1"/>
  <c r="E2209" i="1"/>
  <c r="E2208" i="1"/>
  <c r="E2206" i="1"/>
  <c r="E2204" i="1"/>
  <c r="E2203" i="1"/>
  <c r="E2200" i="1"/>
  <c r="E2199" i="1"/>
  <c r="E2198" i="1"/>
  <c r="E2197" i="1"/>
  <c r="E2196" i="1"/>
  <c r="E2195" i="1"/>
  <c r="E2194" i="1"/>
  <c r="E2191" i="1"/>
  <c r="E2190" i="1"/>
  <c r="E2189" i="1"/>
  <c r="E2187" i="1"/>
  <c r="E2185" i="1"/>
  <c r="E2184" i="1"/>
  <c r="E2183" i="1"/>
  <c r="E2180" i="1"/>
  <c r="E2179" i="1"/>
  <c r="E2178" i="1"/>
  <c r="E2177" i="1"/>
  <c r="E2176" i="1"/>
  <c r="E2175" i="1"/>
  <c r="E2174" i="1"/>
  <c r="E2173" i="1"/>
  <c r="E2172" i="1"/>
  <c r="E2171" i="1"/>
  <c r="E2170" i="1"/>
  <c r="E2167" i="1"/>
  <c r="E2166" i="1"/>
  <c r="E2165" i="1"/>
  <c r="E2164" i="1"/>
  <c r="E2163" i="1"/>
  <c r="E2162" i="1"/>
  <c r="E2161" i="1"/>
  <c r="E2160" i="1"/>
  <c r="E2156" i="1"/>
  <c r="E2154" i="1"/>
  <c r="E2153" i="1"/>
  <c r="E2152" i="1"/>
  <c r="E2151" i="1"/>
  <c r="E2150" i="1"/>
  <c r="E2149" i="1"/>
  <c r="E2147" i="1"/>
  <c r="E2144" i="1"/>
  <c r="E2142" i="1"/>
  <c r="E2141" i="1"/>
  <c r="E2140" i="1"/>
  <c r="E2139" i="1"/>
  <c r="E2138" i="1"/>
  <c r="E2137" i="1"/>
  <c r="E2134" i="1"/>
  <c r="E2133" i="1"/>
  <c r="E2132" i="1"/>
  <c r="E2130" i="1"/>
  <c r="E2129" i="1"/>
  <c r="E2127" i="1"/>
  <c r="E2126" i="1"/>
  <c r="E2125" i="1"/>
  <c r="E2121" i="1"/>
  <c r="E2120" i="1"/>
  <c r="E2119" i="1"/>
  <c r="E2116" i="1"/>
  <c r="E2114" i="1"/>
  <c r="E2113" i="1"/>
  <c r="E2112" i="1"/>
  <c r="E2108" i="1"/>
  <c r="E2107" i="1"/>
  <c r="E2104" i="1"/>
  <c r="E2103" i="1"/>
  <c r="E2100" i="1"/>
  <c r="E2099" i="1"/>
  <c r="E2098" i="1"/>
  <c r="E2097" i="1"/>
  <c r="E2096" i="1"/>
  <c r="E2093" i="1"/>
  <c r="E2092" i="1"/>
  <c r="E2090" i="1"/>
  <c r="E2089" i="1"/>
  <c r="E2088" i="1"/>
  <c r="E2087" i="1"/>
  <c r="E2086" i="1"/>
  <c r="E2083" i="1"/>
  <c r="E2082" i="1"/>
  <c r="E2081" i="1"/>
  <c r="E2080" i="1"/>
  <c r="E2078" i="1"/>
  <c r="E2077" i="1"/>
  <c r="E2076" i="1"/>
  <c r="E2075" i="1"/>
  <c r="E2074" i="1"/>
  <c r="E2072" i="1"/>
  <c r="E2071" i="1"/>
  <c r="E2070" i="1"/>
  <c r="E2069" i="1"/>
  <c r="E2066" i="1"/>
  <c r="E2065" i="1"/>
  <c r="E2063" i="1"/>
  <c r="E2061" i="1"/>
  <c r="E2060" i="1"/>
  <c r="E2059" i="1"/>
  <c r="E2058" i="1"/>
  <c r="E2057" i="1"/>
  <c r="E2056" i="1"/>
  <c r="E2055" i="1"/>
  <c r="E2053" i="1"/>
  <c r="E2052" i="1"/>
  <c r="E2050" i="1"/>
  <c r="E2049" i="1"/>
  <c r="E2048" i="1"/>
  <c r="E2047" i="1"/>
  <c r="E2046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2" i="1"/>
  <c r="E2011" i="1"/>
  <c r="E2008" i="1"/>
  <c r="E2007" i="1"/>
  <c r="E2006" i="1"/>
  <c r="E2004" i="1"/>
  <c r="E2003" i="1"/>
  <c r="E2002" i="1"/>
  <c r="E2001" i="1"/>
  <c r="E2000" i="1"/>
  <c r="E1999" i="1"/>
  <c r="E1998" i="1"/>
  <c r="E1997" i="1"/>
  <c r="E1995" i="1"/>
  <c r="E1994" i="1"/>
  <c r="E1992" i="1"/>
  <c r="E1991" i="1"/>
  <c r="E1990" i="1"/>
  <c r="E1988" i="1"/>
  <c r="E1987" i="1"/>
  <c r="E1986" i="1"/>
  <c r="E1985" i="1"/>
  <c r="E1984" i="1"/>
  <c r="E1983" i="1"/>
  <c r="E1982" i="1"/>
  <c r="E1980" i="1"/>
  <c r="E1979" i="1"/>
  <c r="E1977" i="1"/>
  <c r="E1974" i="1"/>
  <c r="E1973" i="1"/>
  <c r="E1972" i="1"/>
  <c r="E1970" i="1"/>
  <c r="E1969" i="1"/>
  <c r="E1966" i="1"/>
  <c r="E1965" i="1"/>
  <c r="E1962" i="1"/>
  <c r="E1961" i="1"/>
  <c r="E1960" i="1"/>
  <c r="E1959" i="1"/>
  <c r="E1957" i="1"/>
  <c r="E1956" i="1"/>
  <c r="E1953" i="1"/>
  <c r="E1952" i="1"/>
  <c r="E1951" i="1"/>
  <c r="E1950" i="1"/>
  <c r="E1949" i="1"/>
  <c r="E1945" i="1"/>
  <c r="E1944" i="1"/>
  <c r="E1943" i="1"/>
  <c r="E1942" i="1"/>
  <c r="E1940" i="1"/>
  <c r="E1939" i="1"/>
  <c r="E1938" i="1"/>
  <c r="E1937" i="1"/>
  <c r="E1934" i="1"/>
  <c r="E1932" i="1"/>
  <c r="E1931" i="1"/>
  <c r="E1930" i="1"/>
  <c r="E1929" i="1"/>
  <c r="E1928" i="1"/>
  <c r="E1926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1" i="1"/>
  <c r="E1900" i="1"/>
  <c r="E1899" i="1"/>
  <c r="E1898" i="1"/>
  <c r="E1897" i="1"/>
  <c r="E1896" i="1"/>
  <c r="E1895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8" i="1"/>
  <c r="E1877" i="1"/>
  <c r="E1876" i="1"/>
  <c r="E1875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5" i="1"/>
  <c r="E1853" i="1"/>
  <c r="E1851" i="1"/>
  <c r="E1847" i="1"/>
  <c r="E1846" i="1"/>
  <c r="E1843" i="1"/>
  <c r="E1841" i="1"/>
  <c r="E1840" i="1"/>
  <c r="E1837" i="1"/>
  <c r="E1836" i="1"/>
  <c r="E1835" i="1"/>
  <c r="E1833" i="1"/>
  <c r="E1832" i="1"/>
  <c r="E1831" i="1"/>
  <c r="E1830" i="1"/>
  <c r="E1828" i="1"/>
  <c r="E1826" i="1"/>
  <c r="E1825" i="1"/>
  <c r="E1824" i="1"/>
  <c r="E1823" i="1"/>
  <c r="E1822" i="1"/>
  <c r="E1821" i="1"/>
  <c r="E1820" i="1"/>
  <c r="E1818" i="1"/>
  <c r="E1816" i="1"/>
  <c r="E1813" i="1"/>
  <c r="E1812" i="1"/>
  <c r="E1810" i="1"/>
  <c r="E1809" i="1"/>
  <c r="E1808" i="1"/>
  <c r="E1806" i="1"/>
  <c r="E1805" i="1"/>
  <c r="E1804" i="1"/>
  <c r="E1802" i="1"/>
  <c r="E1801" i="1"/>
  <c r="E1800" i="1"/>
  <c r="E1796" i="1"/>
  <c r="E1795" i="1"/>
  <c r="E1794" i="1"/>
  <c r="E1793" i="1"/>
  <c r="E1791" i="1"/>
  <c r="E1790" i="1"/>
  <c r="E1787" i="1"/>
  <c r="E1786" i="1"/>
  <c r="E1785" i="1"/>
  <c r="E1781" i="1"/>
  <c r="E1778" i="1"/>
  <c r="E1777" i="1"/>
  <c r="E1776" i="1"/>
  <c r="E1775" i="1"/>
  <c r="E1774" i="1"/>
  <c r="E1770" i="1"/>
  <c r="E1769" i="1"/>
  <c r="E1768" i="1"/>
  <c r="E1765" i="1"/>
  <c r="E1764" i="1"/>
  <c r="E1763" i="1"/>
  <c r="E1762" i="1"/>
  <c r="E1761" i="1"/>
  <c r="E1760" i="1"/>
  <c r="E1759" i="1"/>
  <c r="E1755" i="1"/>
  <c r="E1754" i="1"/>
  <c r="E1753" i="1"/>
  <c r="E1752" i="1"/>
  <c r="E1751" i="1"/>
  <c r="E1750" i="1"/>
  <c r="E1749" i="1"/>
  <c r="E1748" i="1"/>
  <c r="E1747" i="1"/>
  <c r="E1744" i="1"/>
  <c r="E1742" i="1"/>
  <c r="E1741" i="1"/>
  <c r="E1740" i="1"/>
  <c r="E1739" i="1"/>
  <c r="E1738" i="1"/>
  <c r="E1737" i="1"/>
  <c r="E1736" i="1"/>
  <c r="E1735" i="1"/>
  <c r="E1732" i="1"/>
  <c r="E1731" i="1"/>
  <c r="E1730" i="1"/>
  <c r="E1728" i="1"/>
  <c r="E1726" i="1"/>
  <c r="E1725" i="1"/>
  <c r="E1724" i="1"/>
  <c r="E1723" i="1"/>
  <c r="E1722" i="1"/>
  <c r="E1720" i="1"/>
  <c r="E1718" i="1"/>
  <c r="E1717" i="1"/>
  <c r="E1715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6" i="1"/>
  <c r="E1695" i="1"/>
  <c r="E1694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79" i="1"/>
  <c r="E1678" i="1"/>
  <c r="E1677" i="1"/>
  <c r="E1676" i="1"/>
  <c r="E1675" i="1"/>
  <c r="E1674" i="1"/>
  <c r="E1673" i="1"/>
  <c r="E1672" i="1"/>
  <c r="E1671" i="1"/>
  <c r="E1669" i="1"/>
  <c r="E1668" i="1"/>
  <c r="E1667" i="1"/>
  <c r="E1666" i="1"/>
  <c r="E1664" i="1"/>
  <c r="E1662" i="1"/>
  <c r="E1661" i="1"/>
  <c r="E1660" i="1"/>
  <c r="E1659" i="1"/>
  <c r="E1658" i="1"/>
  <c r="E1657" i="1"/>
  <c r="E1654" i="1"/>
  <c r="E1653" i="1"/>
  <c r="E1652" i="1"/>
  <c r="E1650" i="1"/>
  <c r="E1649" i="1"/>
  <c r="E1648" i="1"/>
  <c r="E1647" i="1"/>
  <c r="E1644" i="1"/>
  <c r="E1643" i="1"/>
  <c r="E1642" i="1"/>
  <c r="E1641" i="1"/>
  <c r="E1639" i="1"/>
  <c r="E1638" i="1"/>
  <c r="E1637" i="1"/>
  <c r="E1636" i="1"/>
  <c r="E1635" i="1"/>
  <c r="E1633" i="1"/>
  <c r="E1632" i="1"/>
  <c r="E1631" i="1"/>
  <c r="E1630" i="1"/>
  <c r="E1629" i="1"/>
  <c r="E1628" i="1"/>
  <c r="E1627" i="1"/>
  <c r="E1626" i="1"/>
  <c r="E1625" i="1"/>
  <c r="E1624" i="1"/>
  <c r="E1623" i="1"/>
  <c r="E1621" i="1"/>
  <c r="E1620" i="1"/>
  <c r="E1619" i="1"/>
  <c r="E1616" i="1"/>
  <c r="E1614" i="1"/>
  <c r="E1612" i="1"/>
  <c r="E1611" i="1"/>
  <c r="E1609" i="1"/>
  <c r="E1608" i="1"/>
  <c r="E1607" i="1"/>
  <c r="E1606" i="1"/>
  <c r="E1605" i="1"/>
  <c r="E1604" i="1"/>
  <c r="E1603" i="1"/>
  <c r="E1601" i="1"/>
  <c r="E1600" i="1"/>
  <c r="E1597" i="1"/>
  <c r="E1596" i="1"/>
  <c r="E1594" i="1"/>
  <c r="E1593" i="1"/>
  <c r="E1592" i="1"/>
  <c r="E1591" i="1"/>
  <c r="E1589" i="1"/>
  <c r="E1588" i="1"/>
  <c r="E1587" i="1"/>
  <c r="E1586" i="1"/>
  <c r="E1582" i="1"/>
  <c r="E1581" i="1"/>
  <c r="E1580" i="1"/>
  <c r="E1577" i="1"/>
  <c r="E1575" i="1"/>
  <c r="E1572" i="1"/>
  <c r="E1571" i="1"/>
  <c r="E1569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8" i="1"/>
  <c r="E1545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7" i="1"/>
  <c r="E1526" i="1"/>
  <c r="E1525" i="1"/>
  <c r="E1524" i="1"/>
  <c r="E1523" i="1"/>
  <c r="E1522" i="1"/>
  <c r="E1521" i="1"/>
  <c r="E1516" i="1"/>
  <c r="E1515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5" i="1"/>
  <c r="E1494" i="1"/>
  <c r="E1492" i="1"/>
  <c r="E1491" i="1"/>
  <c r="E1490" i="1"/>
  <c r="E1489" i="1"/>
  <c r="E1488" i="1"/>
  <c r="E1485" i="1"/>
  <c r="E1484" i="1"/>
  <c r="E1483" i="1"/>
  <c r="E1482" i="1"/>
  <c r="E1481" i="1"/>
  <c r="E1479" i="1"/>
  <c r="E1478" i="1"/>
  <c r="E1477" i="1"/>
  <c r="E1476" i="1"/>
  <c r="E1475" i="1"/>
  <c r="E1474" i="1"/>
  <c r="E1473" i="1"/>
  <c r="E1471" i="1"/>
  <c r="E1470" i="1"/>
  <c r="E1469" i="1"/>
  <c r="E1467" i="1"/>
  <c r="E1465" i="1"/>
  <c r="E1463" i="1"/>
  <c r="E1462" i="1"/>
  <c r="E1461" i="1"/>
  <c r="E1459" i="1"/>
  <c r="E1456" i="1"/>
  <c r="E1455" i="1"/>
  <c r="E1453" i="1"/>
  <c r="E1452" i="1"/>
  <c r="E1451" i="1"/>
  <c r="E1449" i="1"/>
  <c r="E1448" i="1"/>
  <c r="E1447" i="1"/>
  <c r="E1446" i="1"/>
  <c r="E1445" i="1"/>
  <c r="E1444" i="1"/>
  <c r="E1442" i="1"/>
  <c r="E1440" i="1"/>
  <c r="E1439" i="1"/>
  <c r="E1438" i="1"/>
  <c r="E1436" i="1"/>
  <c r="E1434" i="1"/>
  <c r="E1433" i="1"/>
  <c r="E1431" i="1"/>
  <c r="E1430" i="1"/>
  <c r="E1429" i="1"/>
  <c r="E1428" i="1"/>
  <c r="E1427" i="1"/>
  <c r="E1426" i="1"/>
  <c r="E1425" i="1"/>
  <c r="E1423" i="1"/>
  <c r="E1422" i="1"/>
  <c r="E1420" i="1"/>
  <c r="E1419" i="1"/>
  <c r="E1418" i="1"/>
  <c r="E1417" i="1"/>
  <c r="E1416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0" i="1"/>
  <c r="E1399" i="1"/>
  <c r="E1398" i="1"/>
  <c r="E1397" i="1"/>
  <c r="E1396" i="1"/>
  <c r="E1395" i="1"/>
  <c r="E1394" i="1"/>
  <c r="E1393" i="1"/>
  <c r="E1392" i="1"/>
  <c r="E1391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69" i="1"/>
  <c r="E1368" i="1"/>
  <c r="E1365" i="1"/>
  <c r="E1364" i="1"/>
  <c r="E1362" i="1"/>
  <c r="E1360" i="1"/>
  <c r="E1357" i="1"/>
  <c r="E1355" i="1"/>
  <c r="E1353" i="1"/>
  <c r="E1351" i="1"/>
  <c r="E1350" i="1"/>
  <c r="E1349" i="1"/>
  <c r="E1348" i="1"/>
  <c r="E1347" i="1"/>
  <c r="E1344" i="1"/>
  <c r="E1342" i="1"/>
  <c r="E1341" i="1"/>
  <c r="E1340" i="1"/>
  <c r="E1337" i="1"/>
  <c r="E1336" i="1"/>
  <c r="E1335" i="1"/>
  <c r="E1331" i="1"/>
  <c r="E1330" i="1"/>
  <c r="E1329" i="1"/>
  <c r="E1328" i="1"/>
  <c r="E1327" i="1"/>
  <c r="E1325" i="1"/>
  <c r="E1324" i="1"/>
  <c r="E1322" i="1"/>
  <c r="E1321" i="1"/>
  <c r="E1320" i="1"/>
  <c r="E1319" i="1"/>
  <c r="E1318" i="1"/>
  <c r="E1316" i="1"/>
  <c r="E1315" i="1"/>
  <c r="E1314" i="1"/>
  <c r="E1312" i="1"/>
  <c r="E1311" i="1"/>
  <c r="E1310" i="1"/>
  <c r="E1309" i="1"/>
  <c r="E1308" i="1"/>
  <c r="E1307" i="1"/>
  <c r="E1306" i="1"/>
  <c r="E1304" i="1"/>
  <c r="E1303" i="1"/>
  <c r="E1301" i="1"/>
  <c r="E1299" i="1"/>
  <c r="E1298" i="1"/>
  <c r="E1297" i="1"/>
  <c r="E1296" i="1"/>
  <c r="E1295" i="1"/>
  <c r="E1294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8" i="1"/>
  <c r="E1277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1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5" i="1"/>
  <c r="E1244" i="1"/>
  <c r="E1241" i="1"/>
  <c r="E1240" i="1"/>
  <c r="E1239" i="1"/>
  <c r="E1237" i="1"/>
  <c r="E1236" i="1"/>
  <c r="E1235" i="1"/>
  <c r="E1234" i="1"/>
  <c r="E1233" i="1"/>
  <c r="E1232" i="1"/>
  <c r="E1230" i="1"/>
  <c r="E1229" i="1"/>
  <c r="E1228" i="1"/>
  <c r="E1227" i="1"/>
  <c r="E1226" i="1"/>
  <c r="E1225" i="1"/>
  <c r="E1224" i="1"/>
  <c r="E1223" i="1"/>
  <c r="E1222" i="1"/>
  <c r="E1221" i="1"/>
  <c r="E1218" i="1"/>
  <c r="E1217" i="1"/>
  <c r="E1216" i="1"/>
  <c r="E1214" i="1"/>
  <c r="E1213" i="1"/>
  <c r="E1211" i="1"/>
  <c r="E1209" i="1"/>
  <c r="E1208" i="1"/>
  <c r="E1207" i="1"/>
  <c r="E1206" i="1"/>
  <c r="E1205" i="1"/>
  <c r="E1204" i="1"/>
  <c r="E1201" i="1"/>
  <c r="E1200" i="1"/>
  <c r="E1199" i="1"/>
  <c r="E1198" i="1"/>
  <c r="E1197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0" i="1"/>
  <c r="E1168" i="1"/>
  <c r="E1167" i="1"/>
  <c r="E1166" i="1"/>
  <c r="E1164" i="1"/>
  <c r="E1163" i="1"/>
  <c r="E1161" i="1"/>
  <c r="E1160" i="1"/>
  <c r="E1159" i="1"/>
  <c r="E1158" i="1"/>
  <c r="E1157" i="1"/>
  <c r="E1156" i="1"/>
  <c r="E1155" i="1"/>
  <c r="E1154" i="1"/>
  <c r="E1152" i="1"/>
  <c r="E1151" i="1"/>
  <c r="E1150" i="1"/>
  <c r="E1149" i="1"/>
  <c r="E1146" i="1"/>
  <c r="E1145" i="1"/>
  <c r="E1144" i="1"/>
  <c r="E1143" i="1"/>
  <c r="E1141" i="1"/>
  <c r="E1140" i="1"/>
  <c r="E1139" i="1"/>
  <c r="E1138" i="1"/>
  <c r="E1137" i="1"/>
  <c r="E1128" i="1"/>
  <c r="E1126" i="1"/>
  <c r="E1125" i="1"/>
  <c r="E1124" i="1"/>
  <c r="E1118" i="1"/>
  <c r="E1116" i="1"/>
  <c r="E1115" i="1"/>
  <c r="E1114" i="1"/>
  <c r="E1113" i="1"/>
  <c r="E1108" i="1"/>
  <c r="E1107" i="1"/>
  <c r="E1105" i="1"/>
  <c r="E1102" i="1"/>
  <c r="E1100" i="1"/>
  <c r="E1099" i="1"/>
  <c r="E1097" i="1"/>
  <c r="E1096" i="1"/>
  <c r="E1093" i="1"/>
  <c r="E1092" i="1"/>
  <c r="E1090" i="1"/>
  <c r="E1089" i="1"/>
  <c r="E1088" i="1"/>
  <c r="E1084" i="1"/>
  <c r="E1082" i="1"/>
  <c r="E1081" i="1"/>
  <c r="E1080" i="1"/>
  <c r="E1078" i="1"/>
  <c r="E1077" i="1"/>
  <c r="E1074" i="1"/>
  <c r="E1073" i="1"/>
  <c r="E1071" i="1"/>
  <c r="E1070" i="1"/>
  <c r="E1069" i="1"/>
  <c r="E1068" i="1"/>
  <c r="E1066" i="1"/>
  <c r="E1065" i="1"/>
  <c r="E1064" i="1"/>
  <c r="E1063" i="1"/>
  <c r="E1061" i="1"/>
  <c r="E1059" i="1"/>
  <c r="E1058" i="1"/>
  <c r="E1057" i="1"/>
  <c r="E1056" i="1"/>
  <c r="E1055" i="1"/>
  <c r="E1054" i="1"/>
  <c r="E1053" i="1"/>
  <c r="E1052" i="1"/>
  <c r="E1051" i="1"/>
  <c r="E1048" i="1"/>
  <c r="E1047" i="1"/>
  <c r="E1044" i="1"/>
  <c r="E1043" i="1"/>
  <c r="E1042" i="1"/>
  <c r="E1040" i="1"/>
  <c r="E1037" i="1"/>
  <c r="E1036" i="1"/>
  <c r="E1035" i="1"/>
  <c r="E1033" i="1"/>
  <c r="E1032" i="1"/>
  <c r="E1031" i="1"/>
  <c r="E1030" i="1"/>
  <c r="E1029" i="1"/>
  <c r="E1028" i="1"/>
  <c r="E1027" i="1"/>
  <c r="E1026" i="1"/>
  <c r="E1025" i="1"/>
  <c r="E1024" i="1"/>
  <c r="E1023" i="1"/>
  <c r="E1020" i="1"/>
  <c r="E1019" i="1"/>
  <c r="E1018" i="1"/>
  <c r="E1017" i="1"/>
  <c r="E1016" i="1"/>
  <c r="E1015" i="1"/>
  <c r="E1014" i="1"/>
  <c r="E1013" i="1"/>
  <c r="E1012" i="1"/>
  <c r="E1010" i="1"/>
  <c r="E1009" i="1"/>
  <c r="E1007" i="1"/>
  <c r="E1006" i="1"/>
  <c r="E1004" i="1"/>
  <c r="E1002" i="1"/>
  <c r="E1001" i="1"/>
  <c r="E1000" i="1"/>
  <c r="E999" i="1"/>
  <c r="E997" i="1"/>
  <c r="E994" i="1"/>
  <c r="E992" i="1"/>
  <c r="E990" i="1"/>
  <c r="E989" i="1"/>
  <c r="E986" i="1"/>
  <c r="E984" i="1"/>
  <c r="E983" i="1"/>
  <c r="E980" i="1"/>
  <c r="E979" i="1"/>
  <c r="E978" i="1"/>
  <c r="E977" i="1"/>
  <c r="E976" i="1"/>
  <c r="E975" i="1"/>
  <c r="E974" i="1"/>
  <c r="E973" i="1"/>
  <c r="E972" i="1"/>
  <c r="E970" i="1"/>
  <c r="E969" i="1"/>
  <c r="E968" i="1"/>
  <c r="E967" i="1"/>
  <c r="E966" i="1"/>
  <c r="E964" i="1"/>
  <c r="E963" i="1"/>
  <c r="E961" i="1"/>
  <c r="E957" i="1"/>
  <c r="E956" i="1"/>
  <c r="E955" i="1"/>
  <c r="E953" i="1"/>
  <c r="E951" i="1"/>
  <c r="E950" i="1"/>
  <c r="E948" i="1"/>
  <c r="E946" i="1"/>
  <c r="E944" i="1"/>
  <c r="E942" i="1"/>
  <c r="E941" i="1"/>
  <c r="E940" i="1"/>
  <c r="E937" i="1"/>
  <c r="E936" i="1"/>
  <c r="E934" i="1"/>
  <c r="E933" i="1"/>
  <c r="E932" i="1"/>
  <c r="E931" i="1"/>
  <c r="E930" i="1"/>
  <c r="E928" i="1"/>
  <c r="E927" i="1"/>
  <c r="E925" i="1"/>
  <c r="E923" i="1"/>
  <c r="E922" i="1"/>
  <c r="E921" i="1"/>
  <c r="E918" i="1"/>
  <c r="E917" i="1"/>
  <c r="E915" i="1"/>
  <c r="E914" i="1"/>
  <c r="E913" i="1"/>
  <c r="E911" i="1"/>
  <c r="E910" i="1"/>
  <c r="E909" i="1"/>
  <c r="E908" i="1"/>
  <c r="E906" i="1"/>
  <c r="E905" i="1"/>
  <c r="E904" i="1"/>
  <c r="E903" i="1"/>
  <c r="E901" i="1"/>
  <c r="E900" i="1"/>
  <c r="E899" i="1"/>
  <c r="E898" i="1"/>
  <c r="E897" i="1"/>
  <c r="E896" i="1"/>
  <c r="E895" i="1"/>
  <c r="E894" i="1"/>
  <c r="E893" i="1"/>
  <c r="E892" i="1"/>
  <c r="E890" i="1"/>
  <c r="E889" i="1"/>
  <c r="E888" i="1"/>
  <c r="E887" i="1"/>
  <c r="E883" i="1"/>
  <c r="E882" i="1"/>
  <c r="E881" i="1"/>
  <c r="E879" i="1"/>
  <c r="E878" i="1"/>
  <c r="E877" i="1"/>
  <c r="E876" i="1"/>
  <c r="E875" i="1"/>
  <c r="E874" i="1"/>
  <c r="E872" i="1"/>
  <c r="E871" i="1"/>
  <c r="E868" i="1"/>
  <c r="E866" i="1"/>
  <c r="E865" i="1"/>
  <c r="E864" i="1"/>
  <c r="E863" i="1"/>
  <c r="E862" i="1"/>
  <c r="E860" i="1"/>
  <c r="E857" i="1"/>
  <c r="E856" i="1"/>
  <c r="E855" i="1"/>
  <c r="E854" i="1"/>
  <c r="E853" i="1"/>
  <c r="E851" i="1"/>
  <c r="E848" i="1"/>
  <c r="E844" i="1"/>
  <c r="E843" i="1"/>
  <c r="E838" i="1"/>
  <c r="E835" i="1"/>
  <c r="E834" i="1"/>
  <c r="E833" i="1"/>
  <c r="E832" i="1"/>
  <c r="E831" i="1"/>
  <c r="E829" i="1"/>
  <c r="E828" i="1"/>
  <c r="E826" i="1"/>
  <c r="E825" i="1"/>
  <c r="E823" i="1"/>
  <c r="E822" i="1"/>
  <c r="E820" i="1"/>
  <c r="E819" i="1"/>
  <c r="E818" i="1"/>
  <c r="E817" i="1"/>
  <c r="E815" i="1"/>
  <c r="E812" i="1"/>
  <c r="E811" i="1"/>
  <c r="E810" i="1"/>
  <c r="E808" i="1"/>
  <c r="E807" i="1"/>
  <c r="E806" i="1"/>
  <c r="E805" i="1"/>
  <c r="E804" i="1"/>
  <c r="E801" i="1"/>
  <c r="E800" i="1"/>
  <c r="E799" i="1"/>
  <c r="E798" i="1"/>
  <c r="E797" i="1"/>
  <c r="E796" i="1"/>
  <c r="E795" i="1"/>
  <c r="E794" i="1"/>
  <c r="E791" i="1"/>
  <c r="E790" i="1"/>
  <c r="E789" i="1"/>
  <c r="E788" i="1"/>
  <c r="E787" i="1"/>
  <c r="E786" i="1"/>
  <c r="E784" i="1"/>
  <c r="E783" i="1"/>
  <c r="E782" i="1"/>
  <c r="E781" i="1"/>
  <c r="E780" i="1"/>
  <c r="E779" i="1"/>
  <c r="E778" i="1"/>
  <c r="E777" i="1"/>
  <c r="E776" i="1"/>
  <c r="E775" i="1"/>
  <c r="E773" i="1"/>
  <c r="E772" i="1"/>
  <c r="E771" i="1"/>
  <c r="E767" i="1"/>
  <c r="E765" i="1"/>
  <c r="E764" i="1"/>
  <c r="E763" i="1"/>
  <c r="E762" i="1"/>
  <c r="E761" i="1"/>
  <c r="E759" i="1"/>
  <c r="E757" i="1"/>
  <c r="E756" i="1"/>
  <c r="E754" i="1"/>
  <c r="E752" i="1"/>
  <c r="E751" i="1"/>
  <c r="E750" i="1"/>
  <c r="E749" i="1"/>
  <c r="E747" i="1"/>
  <c r="E746" i="1"/>
  <c r="E745" i="1"/>
  <c r="E744" i="1"/>
  <c r="E743" i="1"/>
  <c r="E741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6" i="1"/>
  <c r="E725" i="1"/>
  <c r="E723" i="1"/>
  <c r="E722" i="1"/>
  <c r="E721" i="1"/>
  <c r="E720" i="1"/>
  <c r="E719" i="1"/>
  <c r="E718" i="1"/>
  <c r="E716" i="1"/>
  <c r="E715" i="1"/>
  <c r="E714" i="1"/>
  <c r="E712" i="1"/>
  <c r="E710" i="1"/>
  <c r="E709" i="1"/>
  <c r="E708" i="1"/>
  <c r="E707" i="1"/>
  <c r="E706" i="1"/>
  <c r="E705" i="1"/>
  <c r="E704" i="1"/>
  <c r="E702" i="1"/>
  <c r="E701" i="1"/>
  <c r="E700" i="1"/>
  <c r="E699" i="1"/>
  <c r="E698" i="1"/>
  <c r="E696" i="1"/>
  <c r="E693" i="1"/>
  <c r="E688" i="1"/>
  <c r="E687" i="1"/>
  <c r="E686" i="1"/>
  <c r="E684" i="1"/>
  <c r="E683" i="1"/>
  <c r="E682" i="1"/>
  <c r="E681" i="1"/>
  <c r="E680" i="1"/>
  <c r="E679" i="1"/>
  <c r="E678" i="1"/>
  <c r="E676" i="1"/>
  <c r="E675" i="1"/>
  <c r="E674" i="1"/>
  <c r="E672" i="1"/>
  <c r="E671" i="1"/>
  <c r="E670" i="1"/>
  <c r="E669" i="1"/>
  <c r="E668" i="1"/>
  <c r="E666" i="1"/>
  <c r="E664" i="1"/>
  <c r="E663" i="1"/>
  <c r="E662" i="1"/>
  <c r="E661" i="1"/>
  <c r="E660" i="1"/>
  <c r="E659" i="1"/>
  <c r="E658" i="1"/>
  <c r="E655" i="1"/>
  <c r="E654" i="1"/>
  <c r="E653" i="1"/>
  <c r="E652" i="1"/>
  <c r="E651" i="1"/>
  <c r="E647" i="1"/>
  <c r="E646" i="1"/>
  <c r="E644" i="1"/>
  <c r="E643" i="1"/>
  <c r="E641" i="1"/>
  <c r="E640" i="1"/>
  <c r="E639" i="1"/>
  <c r="E638" i="1"/>
  <c r="E637" i="1"/>
  <c r="E636" i="1"/>
  <c r="E635" i="1"/>
  <c r="E634" i="1"/>
  <c r="E632" i="1"/>
  <c r="E631" i="1"/>
  <c r="E630" i="1"/>
  <c r="E629" i="1"/>
  <c r="E628" i="1"/>
  <c r="E626" i="1"/>
  <c r="E622" i="1"/>
  <c r="E621" i="1"/>
  <c r="E620" i="1"/>
  <c r="E619" i="1"/>
  <c r="E618" i="1"/>
  <c r="E617" i="1"/>
  <c r="E616" i="1"/>
  <c r="E615" i="1"/>
  <c r="E614" i="1"/>
  <c r="E612" i="1"/>
  <c r="E611" i="1"/>
  <c r="E610" i="1"/>
  <c r="E609" i="1"/>
  <c r="E608" i="1"/>
  <c r="E606" i="1"/>
  <c r="E605" i="1"/>
  <c r="E604" i="1"/>
  <c r="E603" i="1"/>
  <c r="E601" i="1"/>
  <c r="E600" i="1"/>
  <c r="E599" i="1"/>
  <c r="E597" i="1"/>
  <c r="E593" i="1"/>
  <c r="E591" i="1"/>
  <c r="E589" i="1"/>
  <c r="E588" i="1"/>
  <c r="E587" i="1"/>
  <c r="E586" i="1"/>
  <c r="E585" i="1"/>
  <c r="E583" i="1"/>
  <c r="E582" i="1"/>
  <c r="E581" i="1"/>
  <c r="E580" i="1"/>
  <c r="E579" i="1"/>
  <c r="E578" i="1"/>
  <c r="E576" i="1"/>
  <c r="E575" i="1"/>
  <c r="E574" i="1"/>
  <c r="E573" i="1"/>
  <c r="E570" i="1"/>
  <c r="E569" i="1"/>
  <c r="E568" i="1"/>
  <c r="E567" i="1"/>
  <c r="E566" i="1"/>
  <c r="E565" i="1"/>
  <c r="E564" i="1"/>
  <c r="E563" i="1"/>
  <c r="E562" i="1"/>
  <c r="E560" i="1"/>
  <c r="E559" i="1"/>
  <c r="E558" i="1"/>
  <c r="E557" i="1"/>
  <c r="E556" i="1"/>
  <c r="E555" i="1"/>
  <c r="E554" i="1"/>
  <c r="E552" i="1"/>
  <c r="E551" i="1"/>
  <c r="E549" i="1"/>
  <c r="E548" i="1"/>
  <c r="E547" i="1"/>
  <c r="E546" i="1"/>
  <c r="E545" i="1"/>
  <c r="E544" i="1"/>
  <c r="E543" i="1"/>
  <c r="E542" i="1"/>
  <c r="E541" i="1"/>
  <c r="E540" i="1"/>
  <c r="E539" i="1"/>
  <c r="E537" i="1"/>
  <c r="E536" i="1"/>
  <c r="E535" i="1"/>
  <c r="E534" i="1"/>
  <c r="E533" i="1"/>
  <c r="E532" i="1"/>
  <c r="E531" i="1"/>
  <c r="E530" i="1"/>
  <c r="E528" i="1"/>
  <c r="E526" i="1"/>
  <c r="E524" i="1"/>
  <c r="E521" i="1"/>
  <c r="E518" i="1"/>
  <c r="E517" i="1"/>
  <c r="E515" i="1"/>
  <c r="E514" i="1"/>
  <c r="E513" i="1"/>
  <c r="E511" i="1"/>
  <c r="E509" i="1"/>
  <c r="E507" i="1"/>
  <c r="E506" i="1"/>
  <c r="E504" i="1"/>
  <c r="E503" i="1"/>
  <c r="E502" i="1"/>
  <c r="E501" i="1"/>
  <c r="E500" i="1"/>
  <c r="E499" i="1"/>
  <c r="E495" i="1"/>
  <c r="E494" i="1"/>
  <c r="E493" i="1"/>
  <c r="E492" i="1"/>
  <c r="E490" i="1"/>
  <c r="E489" i="1"/>
  <c r="E488" i="1"/>
  <c r="E487" i="1"/>
  <c r="E486" i="1"/>
  <c r="E485" i="1"/>
  <c r="E483" i="1"/>
  <c r="E482" i="1"/>
  <c r="E481" i="1"/>
  <c r="E480" i="1"/>
  <c r="E479" i="1"/>
  <c r="E478" i="1"/>
  <c r="E476" i="1"/>
  <c r="E474" i="1"/>
  <c r="E473" i="1"/>
  <c r="E471" i="1"/>
  <c r="E470" i="1"/>
  <c r="E469" i="1"/>
  <c r="E468" i="1"/>
  <c r="E467" i="1"/>
  <c r="E466" i="1"/>
  <c r="E463" i="1"/>
  <c r="E462" i="1"/>
  <c r="E461" i="1"/>
  <c r="E460" i="1"/>
  <c r="E459" i="1"/>
  <c r="E458" i="1"/>
  <c r="E457" i="1"/>
  <c r="E455" i="1"/>
  <c r="E454" i="1"/>
  <c r="E453" i="1"/>
  <c r="E452" i="1"/>
  <c r="E451" i="1"/>
  <c r="E449" i="1"/>
  <c r="E448" i="1"/>
  <c r="E447" i="1"/>
  <c r="E446" i="1"/>
  <c r="E445" i="1"/>
  <c r="E444" i="1"/>
  <c r="E443" i="1"/>
  <c r="E442" i="1"/>
  <c r="E440" i="1"/>
  <c r="E439" i="1"/>
  <c r="E438" i="1"/>
  <c r="E437" i="1"/>
  <c r="E436" i="1"/>
  <c r="E435" i="1"/>
  <c r="E434" i="1"/>
  <c r="E432" i="1"/>
  <c r="E431" i="1"/>
  <c r="E429" i="1"/>
  <c r="E427" i="1"/>
  <c r="E426" i="1"/>
  <c r="E425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0" i="1"/>
  <c r="E409" i="1"/>
  <c r="E408" i="1"/>
  <c r="E406" i="1"/>
  <c r="E405" i="1"/>
  <c r="E404" i="1"/>
  <c r="E403" i="1"/>
  <c r="E402" i="1"/>
  <c r="E401" i="1"/>
  <c r="E400" i="1"/>
  <c r="E399" i="1"/>
  <c r="E397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4" i="1"/>
  <c r="E363" i="1"/>
  <c r="E361" i="1"/>
  <c r="E360" i="1"/>
  <c r="E359" i="1"/>
  <c r="E358" i="1"/>
  <c r="E357" i="1"/>
  <c r="E356" i="1"/>
  <c r="E355" i="1"/>
  <c r="E354" i="1"/>
  <c r="E353" i="1"/>
  <c r="E351" i="1"/>
  <c r="E350" i="1"/>
  <c r="E349" i="1"/>
  <c r="E348" i="1"/>
  <c r="E347" i="1"/>
  <c r="E345" i="1"/>
  <c r="E343" i="1"/>
  <c r="E342" i="1"/>
  <c r="E341" i="1"/>
  <c r="E340" i="1"/>
  <c r="E338" i="1"/>
  <c r="E337" i="1"/>
  <c r="E335" i="1"/>
  <c r="E333" i="1"/>
  <c r="E332" i="1"/>
  <c r="E330" i="1"/>
  <c r="E329" i="1"/>
  <c r="E328" i="1"/>
  <c r="E327" i="1"/>
  <c r="E326" i="1"/>
  <c r="E325" i="1"/>
  <c r="E324" i="1"/>
  <c r="E322" i="1"/>
  <c r="E321" i="1"/>
  <c r="E320" i="1"/>
  <c r="E319" i="1"/>
  <c r="E318" i="1"/>
  <c r="E317" i="1"/>
  <c r="E316" i="1"/>
  <c r="E315" i="1"/>
  <c r="E314" i="1"/>
  <c r="E312" i="1"/>
  <c r="E311" i="1"/>
  <c r="E308" i="1"/>
  <c r="E307" i="1"/>
  <c r="E306" i="1"/>
  <c r="E305" i="1"/>
  <c r="E304" i="1"/>
  <c r="E302" i="1"/>
  <c r="E301" i="1"/>
  <c r="E299" i="1"/>
  <c r="E298" i="1"/>
  <c r="E297" i="1"/>
  <c r="E295" i="1"/>
  <c r="E294" i="1"/>
  <c r="E293" i="1"/>
  <c r="E292" i="1"/>
  <c r="E291" i="1"/>
  <c r="E287" i="1"/>
  <c r="E286" i="1"/>
  <c r="E285" i="1"/>
  <c r="E284" i="1"/>
  <c r="E281" i="1"/>
  <c r="E280" i="1"/>
  <c r="E279" i="1"/>
  <c r="E278" i="1"/>
  <c r="E277" i="1"/>
  <c r="E276" i="1"/>
  <c r="E275" i="1"/>
  <c r="E274" i="1"/>
  <c r="E271" i="1"/>
  <c r="E269" i="1"/>
  <c r="E268" i="1"/>
  <c r="E267" i="1"/>
  <c r="E266" i="1"/>
  <c r="E265" i="1"/>
  <c r="E264" i="1"/>
  <c r="E263" i="1"/>
  <c r="E261" i="1"/>
  <c r="E260" i="1"/>
  <c r="E259" i="1"/>
  <c r="E258" i="1"/>
  <c r="E257" i="1"/>
  <c r="E256" i="1"/>
  <c r="E255" i="1"/>
  <c r="E253" i="1"/>
  <c r="E251" i="1"/>
  <c r="E250" i="1"/>
  <c r="E248" i="1"/>
  <c r="E247" i="1"/>
  <c r="E246" i="1"/>
  <c r="E245" i="1"/>
  <c r="E244" i="1"/>
  <c r="E243" i="1"/>
  <c r="E242" i="1"/>
  <c r="E240" i="1"/>
  <c r="E239" i="1"/>
  <c r="E238" i="1"/>
  <c r="E237" i="1"/>
  <c r="E236" i="1"/>
  <c r="E234" i="1"/>
  <c r="E233" i="1"/>
  <c r="E232" i="1"/>
  <c r="E231" i="1"/>
  <c r="E230" i="1"/>
  <c r="E229" i="1"/>
  <c r="E228" i="1"/>
  <c r="E225" i="1"/>
  <c r="E224" i="1"/>
  <c r="E223" i="1"/>
  <c r="E222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4" i="1"/>
  <c r="E183" i="1"/>
  <c r="E182" i="1"/>
  <c r="E181" i="1"/>
  <c r="E180" i="1"/>
  <c r="E179" i="1"/>
  <c r="E177" i="1"/>
  <c r="E175" i="1"/>
  <c r="E174" i="1"/>
  <c r="E173" i="1"/>
  <c r="E172" i="1"/>
  <c r="E171" i="1"/>
  <c r="E170" i="1"/>
  <c r="E169" i="1"/>
  <c r="E168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0" i="1"/>
  <c r="E139" i="1"/>
  <c r="E138" i="1"/>
  <c r="E137" i="1"/>
  <c r="E136" i="1"/>
  <c r="E135" i="1"/>
  <c r="E134" i="1"/>
  <c r="E133" i="1"/>
  <c r="E132" i="1"/>
  <c r="E131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3" i="1"/>
  <c r="E82" i="1"/>
  <c r="E81" i="1"/>
  <c r="E80" i="1"/>
  <c r="E79" i="1"/>
  <c r="E78" i="1"/>
  <c r="E77" i="1"/>
  <c r="E76" i="1"/>
  <c r="E75" i="1"/>
  <c r="E73" i="1"/>
  <c r="E71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<sst xmlns="http://schemas.openxmlformats.org/spreadsheetml/2006/main" count="8988" uniqueCount="202">
  <si>
    <t>ГОСТ, ТУ</t>
  </si>
  <si>
    <t>8732-78</t>
  </si>
  <si>
    <t>14-3-1128-00</t>
  </si>
  <si>
    <t>550-75</t>
  </si>
  <si>
    <t>8734-75</t>
  </si>
  <si>
    <t>Наличие, т</t>
  </si>
  <si>
    <t>1317-006.1-593377520-2003</t>
  </si>
  <si>
    <t>10705-80</t>
  </si>
  <si>
    <t>14-3-190-04</t>
  </si>
  <si>
    <t>Диаметр, мм</t>
  </si>
  <si>
    <t>Стенка, мм</t>
  </si>
  <si>
    <t>Сталь</t>
  </si>
  <si>
    <t>20ПВ</t>
  </si>
  <si>
    <t>1383-010-48124013-2003</t>
  </si>
  <si>
    <t>Д</t>
  </si>
  <si>
    <t>23270-89</t>
  </si>
  <si>
    <t>9941-81</t>
  </si>
  <si>
    <t>800-78</t>
  </si>
  <si>
    <t>632-80</t>
  </si>
  <si>
    <t>20СП</t>
  </si>
  <si>
    <t>14-3Р-50-01</t>
  </si>
  <si>
    <t>17Г1С</t>
  </si>
  <si>
    <t>20295-85</t>
  </si>
  <si>
    <t>3262-75</t>
  </si>
  <si>
    <t>32ХА</t>
  </si>
  <si>
    <t>10706-76</t>
  </si>
  <si>
    <t>09Г2С</t>
  </si>
  <si>
    <t>22ГЮ</t>
  </si>
  <si>
    <t>30ХГСА</t>
  </si>
  <si>
    <t>15Х5М</t>
  </si>
  <si>
    <t>40Х</t>
  </si>
  <si>
    <t>12Х1МФ</t>
  </si>
  <si>
    <t>14-3Р-55-01</t>
  </si>
  <si>
    <t>ШХ15-В</t>
  </si>
  <si>
    <t>3СП</t>
  </si>
  <si>
    <t>15ГС</t>
  </si>
  <si>
    <t>20Х</t>
  </si>
  <si>
    <t>13ХФА</t>
  </si>
  <si>
    <t>14-3Р-47-01</t>
  </si>
  <si>
    <t>20А</t>
  </si>
  <si>
    <t>ШХ15</t>
  </si>
  <si>
    <t>38Х2Н2МА</t>
  </si>
  <si>
    <t>30Х</t>
  </si>
  <si>
    <t>15ХМ</t>
  </si>
  <si>
    <t>14-3Р-51-01</t>
  </si>
  <si>
    <t>15Х1М1Ф</t>
  </si>
  <si>
    <t>14-3Р-1128-07</t>
  </si>
  <si>
    <t>10Г2ФБЮ</t>
  </si>
  <si>
    <t>17Г1С-У</t>
  </si>
  <si>
    <t>14-3Р-62-02</t>
  </si>
  <si>
    <t>16ГС</t>
  </si>
  <si>
    <t>3-923-75</t>
  </si>
  <si>
    <t>09ГСФ</t>
  </si>
  <si>
    <t>12Г2СБ</t>
  </si>
  <si>
    <t>Е355+SR(20)</t>
  </si>
  <si>
    <t>EN 10305-1</t>
  </si>
  <si>
    <t>S355J2H(17Г1С)</t>
  </si>
  <si>
    <t>EN 10210-1</t>
  </si>
  <si>
    <t>3СП5</t>
  </si>
  <si>
    <t>08-12Х18Н10Т</t>
  </si>
  <si>
    <t>10704-91</t>
  </si>
  <si>
    <t>8639-82</t>
  </si>
  <si>
    <t>Лист</t>
  </si>
  <si>
    <t>19903-74</t>
  </si>
  <si>
    <t>32528-13</t>
  </si>
  <si>
    <t>S355J2H</t>
  </si>
  <si>
    <t>EN 10210</t>
  </si>
  <si>
    <t>38ХС</t>
  </si>
  <si>
    <t>40ХМФА</t>
  </si>
  <si>
    <t>восстановленная</t>
  </si>
  <si>
    <t>14-3Р-44-01</t>
  </si>
  <si>
    <t>08КП</t>
  </si>
  <si>
    <t>2ПС</t>
  </si>
  <si>
    <t>К56</t>
  </si>
  <si>
    <t>40х20</t>
  </si>
  <si>
    <t>50х50</t>
  </si>
  <si>
    <t>80х60</t>
  </si>
  <si>
    <t>EN10210-1</t>
  </si>
  <si>
    <t>10210-1</t>
  </si>
  <si>
    <t>13ГФА</t>
  </si>
  <si>
    <t>14-3-1618-89</t>
  </si>
  <si>
    <t>20ЮЧ</t>
  </si>
  <si>
    <t>14-3Р-54-01</t>
  </si>
  <si>
    <t>880-78</t>
  </si>
  <si>
    <t>14-159-1128-08</t>
  </si>
  <si>
    <t>некондиция(под мех обработку)</t>
  </si>
  <si>
    <t>13ГФ</t>
  </si>
  <si>
    <t>К60</t>
  </si>
  <si>
    <t>30245-03</t>
  </si>
  <si>
    <t>24.2013-017-12281990-2019</t>
  </si>
  <si>
    <t>1303-008-12281990-2017</t>
  </si>
  <si>
    <t>X80M(09Г2С)</t>
  </si>
  <si>
    <t>API 5L</t>
  </si>
  <si>
    <t>120х120</t>
  </si>
  <si>
    <t>К55</t>
  </si>
  <si>
    <t>30ХМА</t>
  </si>
  <si>
    <t>С390</t>
  </si>
  <si>
    <t>1381-012-05757848-2005</t>
  </si>
  <si>
    <t>13Г1С-У</t>
  </si>
  <si>
    <t>С355</t>
  </si>
  <si>
    <t>S355JR</t>
  </si>
  <si>
    <t>EN 10219-1:2006</t>
  </si>
  <si>
    <t>К52</t>
  </si>
  <si>
    <t>24.20.13-022-12281990-2020</t>
  </si>
  <si>
    <t>S355JR+M</t>
  </si>
  <si>
    <t>Трубы толстостенные Трубы из стали 30ХГСА   Трубы котельные              Трубы крекинговые          Трубы газлифтные</t>
  </si>
  <si>
    <t>40ХН2МА</t>
  </si>
  <si>
    <t>12Х18Н10Т</t>
  </si>
  <si>
    <t>37Г2Ф</t>
  </si>
  <si>
    <t>12ФА</t>
  </si>
  <si>
    <t>14-3Р-1430-07</t>
  </si>
  <si>
    <t>К48</t>
  </si>
  <si>
    <t>17ГС</t>
  </si>
  <si>
    <t>Gr.6 (09Г2С)</t>
  </si>
  <si>
    <t>ASTM A333</t>
  </si>
  <si>
    <t>24.20.13-013-12281990-2019</t>
  </si>
  <si>
    <t>20ФА</t>
  </si>
  <si>
    <t>14ХГС</t>
  </si>
  <si>
    <t>40ХН</t>
  </si>
  <si>
    <t>14-3-1354-85</t>
  </si>
  <si>
    <t>36Г2С</t>
  </si>
  <si>
    <t>24.20.13-013-1228199-19</t>
  </si>
  <si>
    <t>24.20.13-022-1228199-20</t>
  </si>
  <si>
    <t>32Г2</t>
  </si>
  <si>
    <r>
      <rPr>
        <b/>
        <sz val="16"/>
        <color theme="1" tint="0.14999847407452621"/>
        <rFont val="Times New Roman"/>
        <family val="1"/>
        <charset val="204"/>
      </rPr>
      <t>454048, г. Челябинск,                  ул. Доватора, д.29, оф.306</t>
    </r>
    <r>
      <rPr>
        <b/>
        <sz val="14"/>
        <color theme="1" tint="0.14999847407452621"/>
        <rFont val="Times New Roman"/>
        <family val="1"/>
        <charset val="204"/>
      </rPr>
      <t xml:space="preserve">                                                                                 mail@smchel.com         http://smchel.com      Тел. (351) 729-98-00, 729-86-99</t>
    </r>
  </si>
  <si>
    <t>24.20.13-022-12281990-20</t>
  </si>
  <si>
    <t>1381-018-00186654-09</t>
  </si>
  <si>
    <t>24.20.13-017-12281990-19</t>
  </si>
  <si>
    <t>ТУ 14-3-463-05</t>
  </si>
  <si>
    <t>14-3Р-124-17</t>
  </si>
  <si>
    <t>12ХН3А</t>
  </si>
  <si>
    <t>30ХГСА, Q125</t>
  </si>
  <si>
    <t>1317-006.1-593377520-03</t>
  </si>
  <si>
    <t>1419-001-53570464-2012</t>
  </si>
  <si>
    <t>1303-008-12281990-17</t>
  </si>
  <si>
    <t>14-3Р-91-04</t>
  </si>
  <si>
    <t>3ПС5</t>
  </si>
  <si>
    <t>1493-002-81068824-2014</t>
  </si>
  <si>
    <t>Q355B</t>
  </si>
  <si>
    <t>Gr.6</t>
  </si>
  <si>
    <t>58064-18</t>
  </si>
  <si>
    <t>24.20.21.000-110-00186654-2019</t>
  </si>
  <si>
    <t>550-20</t>
  </si>
  <si>
    <t>1317-006.1-593377520-08</t>
  </si>
  <si>
    <t xml:space="preserve">20Х </t>
  </si>
  <si>
    <t>35Х</t>
  </si>
  <si>
    <t>Х70</t>
  </si>
  <si>
    <t>14-3Р-125-12</t>
  </si>
  <si>
    <t>К65</t>
  </si>
  <si>
    <t>1381-037-05757848-13</t>
  </si>
  <si>
    <t>1317-233-00147016-02</t>
  </si>
  <si>
    <t>38Г2СФА</t>
  </si>
  <si>
    <t>161-816-20</t>
  </si>
  <si>
    <t>1317-233-00147016-2002</t>
  </si>
  <si>
    <t>38ГНП</t>
  </si>
  <si>
    <t>1319-369-00186619-12</t>
  </si>
  <si>
    <t>ПНСТ 394-2020</t>
  </si>
  <si>
    <t>14-3Р-124-12</t>
  </si>
  <si>
    <t>К48(09Г2С)</t>
  </si>
  <si>
    <t>1319-1128-00186654-2012</t>
  </si>
  <si>
    <t>13Г1С</t>
  </si>
  <si>
    <t>24.20.13.130-007-16427522-18</t>
  </si>
  <si>
    <t>16ГС-Ш</t>
  </si>
  <si>
    <t>1301-039-00212179-10</t>
  </si>
  <si>
    <t>15Х1М1Ф-Ш</t>
  </si>
  <si>
    <t>круг</t>
  </si>
  <si>
    <t>2590-06</t>
  </si>
  <si>
    <t>грN80</t>
  </si>
  <si>
    <t>API Spec5</t>
  </si>
  <si>
    <t>С345</t>
  </si>
  <si>
    <t>К50</t>
  </si>
  <si>
    <t>1381-051-05757848-16</t>
  </si>
  <si>
    <t>24.20.13-004-02650742-23</t>
  </si>
  <si>
    <t>ГОСТ 31446-2017</t>
  </si>
  <si>
    <t>14-1-2118-98</t>
  </si>
  <si>
    <t>30Г</t>
  </si>
  <si>
    <t>24.20.11-037-02650742-2019</t>
  </si>
  <si>
    <t>15Х5М-У</t>
  </si>
  <si>
    <t>Х52</t>
  </si>
  <si>
    <t>54864-16</t>
  </si>
  <si>
    <t>24.20.13.130-007-16427522-2018</t>
  </si>
  <si>
    <t>ТУ 1303-003-12281990-2009</t>
  </si>
  <si>
    <t>1303-003-12281990-09</t>
  </si>
  <si>
    <t>полиэтилен</t>
  </si>
  <si>
    <t>2248-001-49127551-2014</t>
  </si>
  <si>
    <t>ТУ 24.20.13-013-12281990-2019</t>
  </si>
  <si>
    <t>ТУ 24.20.13-022-12281990-2023</t>
  </si>
  <si>
    <t>С355-6</t>
  </si>
  <si>
    <t>3сп5</t>
  </si>
  <si>
    <t>1381-020-00186654-2011</t>
  </si>
  <si>
    <t>С390-6</t>
  </si>
  <si>
    <t>10ХСНД-3</t>
  </si>
  <si>
    <t>15ГС-Ш</t>
  </si>
  <si>
    <t>38ХН3МФ</t>
  </si>
  <si>
    <t>09Г2ФБ</t>
  </si>
  <si>
    <t>21.20.21-1573-05757848-2016</t>
  </si>
  <si>
    <t>С440-6</t>
  </si>
  <si>
    <t>38Г2СА</t>
  </si>
  <si>
    <t>14-3-463-05</t>
  </si>
  <si>
    <t>14-3-1128-07</t>
  </si>
  <si>
    <t xml:space="preserve">09Г2С </t>
  </si>
  <si>
    <t>L360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</si>
</sst>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9" x14ac:knownFonts="1">
    <font>
      <sz val="10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i/>
      <sz val="11"/>
      <color indexed="8"/>
      <name val="Arial Narrow"/>
      <family val="2"/>
      <charset val="204"/>
    </font>
    <font>
      <b/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1"/>
      <color theme="1" tint="0.14999847407452621"/>
      <name val="Times New Roman"/>
      <family val="1"/>
      <charset val="204"/>
    </font>
    <font>
      <b/>
      <sz val="16"/>
      <color theme="1" tint="0.14999847407452621"/>
      <name val="Times New Roman"/>
      <family val="1"/>
      <charset val="204"/>
    </font>
    <font>
      <b/>
      <sz val="14"/>
      <color theme="1" tint="0.149998474074526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4" fillId="0" borderId="6" xfId="0" applyFont="1" applyBorder="1"/>
    <xf numFmtId="0" fontId="5" fillId="2" borderId="4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 applyProtection="1">
      <alignment horizontal="center"/>
    </xf>
    <xf numFmtId="0" fontId="6" fillId="2" borderId="3" xfId="0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/>
    </xf>
    <xf numFmtId="164" fontId="5" fillId="2" borderId="4" xfId="1" applyNumberFormat="1" applyFont="1" applyFill="1" applyBorder="1" applyAlignment="1" applyProtection="1">
      <alignment horizontal="center"/>
    </xf>
    <xf numFmtId="0" fontId="5" fillId="2" borderId="7" xfId="0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colors>
    <mruColors>
      <color rgb="FF4D4D4D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1</xdr:col>
      <xdr:colOff>847725</xdr:colOff>
      <xdr:row>0</xdr:row>
      <xdr:rowOff>1139064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1895474" cy="1139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H5604"/>
  <sheetViews>
    <sheetView tabSelected="1" zoomScaleNormal="100" zoomScaleSheetLayoutView="100" workbookViewId="0">
      <pane ySplit="1" topLeftCell="A2" activePane="bottomLeft" state="frozen"/>
      <selection pane="bottomLeft" activeCell="A3" sqref="A3"/>
    </sheetView>
  </sheetViews>
  <sheetFormatPr defaultColWidth="9.109375" defaultRowHeight="15.6" x14ac:dyDescent="0.3"/>
  <cols>
    <col min="1" max="1" width="16.6640625" style="1" customWidth="1"/>
    <col min="2" max="2" width="16.44140625" style="1" customWidth="1"/>
    <col min="3" max="3" width="25.88671875" style="1" customWidth="1"/>
    <col min="4" max="4" width="26.109375" style="2" customWidth="1"/>
    <col min="5" max="5" width="21" style="3" customWidth="1"/>
    <col min="6" max="86" width="9.109375" style="3"/>
    <col min="87" max="16384" width="9.109375" style="1"/>
  </cols>
  <sheetData>
    <row r="1" spans="1:86" ht="90.75" customHeight="1" thickBot="1" x14ac:dyDescent="0.35">
      <c r="A1" s="7"/>
      <c r="B1" s="6"/>
      <c r="C1" s="14" t="s">
        <v>105</v>
      </c>
      <c r="D1" s="28" t="s">
        <v>124</v>
      </c>
      <c r="E1" s="29"/>
      <c r="CC1" s="1"/>
      <c r="CD1" s="1"/>
      <c r="CE1" s="1"/>
      <c r="CF1" s="1"/>
      <c r="CG1" s="1"/>
      <c r="CH1" s="1"/>
    </row>
    <row r="2" spans="1:86" ht="15.75" customHeight="1" thickBot="1" x14ac:dyDescent="0.35">
      <c r="A2" s="4" t="s">
        <v>9</v>
      </c>
      <c r="B2" s="5" t="s">
        <v>10</v>
      </c>
      <c r="C2" s="5" t="s">
        <v>11</v>
      </c>
      <c r="D2" s="5" t="s">
        <v>0</v>
      </c>
      <c r="E2" s="5" t="s">
        <v>5</v>
      </c>
      <c r="CC2" s="1"/>
      <c r="CD2" s="1"/>
      <c r="CE2" s="1"/>
      <c r="CF2" s="1"/>
      <c r="CG2" s="1"/>
      <c r="CH2" s="1"/>
    </row>
    <row r="3" spans="1:86" ht="15.75" customHeight="1" x14ac:dyDescent="0.3">
      <c r="A3" s="10">
        <v>10</v>
      </c>
      <c r="B3" s="10">
        <v>1.5</v>
      </c>
      <c r="C3" s="10" t="s">
        <v>26</v>
      </c>
      <c r="D3" s="10" t="s">
        <v>4</v>
      </c>
      <c r="E3" s="15">
        <f>0.115-0.003-0.003-0.014-0.002-0.04-0.001-0.006-0.04+0.025-0.006-0.003-0.007-0.001-0.008-0.001</f>
        <v>5.0000000000000018E-3</v>
      </c>
      <c r="CC3" s="1"/>
      <c r="CD3" s="1"/>
      <c r="CE3" s="1"/>
      <c r="CF3" s="1"/>
      <c r="CG3" s="1"/>
      <c r="CH3" s="1"/>
    </row>
    <row r="4" spans="1:86" ht="15.75" customHeight="1" x14ac:dyDescent="0.3">
      <c r="A4" s="10">
        <v>10</v>
      </c>
      <c r="B4" s="10">
        <v>1.5</v>
      </c>
      <c r="C4" s="10" t="s">
        <v>26</v>
      </c>
      <c r="D4" s="10" t="s">
        <v>4</v>
      </c>
      <c r="E4" s="15">
        <f>0.34-0.002-0.001-0.014-0.002-0.004-0.007-0.007-0.004-0.007-0.024-0.25-0.012+0.02-0.004-0.002</f>
        <v>1.9999999999999962E-2</v>
      </c>
      <c r="CC4" s="1"/>
      <c r="CD4" s="1"/>
      <c r="CE4" s="1"/>
      <c r="CF4" s="1"/>
      <c r="CG4" s="1"/>
      <c r="CH4" s="1"/>
    </row>
    <row r="5" spans="1:86" ht="15.75" customHeight="1" x14ac:dyDescent="0.3">
      <c r="A5" s="8">
        <v>10</v>
      </c>
      <c r="B5" s="8">
        <v>1.5</v>
      </c>
      <c r="C5" s="8" t="s">
        <v>59</v>
      </c>
      <c r="D5" s="8" t="s">
        <v>16</v>
      </c>
      <c r="E5" s="19">
        <f>0.004-0.0001</f>
        <v>3.9000000000000003E-3</v>
      </c>
      <c r="CC5" s="1"/>
      <c r="CD5" s="1"/>
      <c r="CE5" s="1"/>
      <c r="CF5" s="1"/>
      <c r="CG5" s="1"/>
      <c r="CH5" s="1"/>
    </row>
    <row r="6" spans="1:86" ht="15.75" customHeight="1" x14ac:dyDescent="0.3">
      <c r="A6" s="10">
        <v>10</v>
      </c>
      <c r="B6" s="10">
        <v>3</v>
      </c>
      <c r="C6" s="10" t="s">
        <v>26</v>
      </c>
      <c r="D6" s="10" t="s">
        <v>4</v>
      </c>
      <c r="E6" s="15">
        <f>0.325-0.006-0.007-0.007-0.007-0.14-0.005-0.002-0.042-0.014-0.001</f>
        <v>9.3999999999999959E-2</v>
      </c>
      <c r="G6"/>
      <c r="CC6" s="1"/>
      <c r="CD6" s="1"/>
      <c r="CE6" s="1"/>
      <c r="CF6" s="1"/>
      <c r="CG6" s="1"/>
      <c r="CH6" s="1"/>
    </row>
    <row r="7" spans="1:86" ht="15.75" customHeight="1" x14ac:dyDescent="0.3">
      <c r="A7" s="10">
        <v>12</v>
      </c>
      <c r="B7" s="10">
        <v>2</v>
      </c>
      <c r="C7" s="10">
        <v>20</v>
      </c>
      <c r="D7" s="10" t="s">
        <v>4</v>
      </c>
      <c r="E7" s="15">
        <f>0.33-0.016-0.007-0.001-0.032-0.001-0.002-0.002-0.002-0.001-0.001-0.001-0.004-0.007-0.001-0.002-0.002-0.002-0.007-0.005-0.004-0.01-0.008-0.007-0.002-0.004-0.004-0.008</f>
        <v>0.18699999999999994</v>
      </c>
      <c r="CC7" s="1"/>
      <c r="CD7" s="1"/>
      <c r="CE7" s="1"/>
      <c r="CF7" s="1"/>
      <c r="CG7" s="1"/>
      <c r="CH7" s="1"/>
    </row>
    <row r="8" spans="1:86" ht="15.75" customHeight="1" x14ac:dyDescent="0.3">
      <c r="A8" s="10">
        <v>12</v>
      </c>
      <c r="B8" s="10">
        <v>2</v>
      </c>
      <c r="C8" s="10" t="s">
        <v>26</v>
      </c>
      <c r="D8" s="10" t="s">
        <v>4</v>
      </c>
      <c r="E8" s="15">
        <f>0.315-0.004-0.003-0.004</f>
        <v>0.30399999999999999</v>
      </c>
      <c r="CC8" s="1"/>
      <c r="CD8" s="1"/>
      <c r="CE8" s="1"/>
      <c r="CF8" s="1"/>
      <c r="CG8" s="1"/>
      <c r="CH8" s="1"/>
    </row>
    <row r="9" spans="1:86" ht="15.75" customHeight="1" x14ac:dyDescent="0.3">
      <c r="A9" s="8">
        <v>12</v>
      </c>
      <c r="B9" s="8">
        <v>2.5</v>
      </c>
      <c r="C9" s="8">
        <v>20</v>
      </c>
      <c r="D9" s="8" t="s">
        <v>4</v>
      </c>
      <c r="E9" s="9">
        <f>0.88-0.013</f>
        <v>0.86699999999999999</v>
      </c>
      <c r="CC9" s="1"/>
      <c r="CD9" s="1"/>
      <c r="CE9" s="1"/>
      <c r="CF9" s="1"/>
      <c r="CG9" s="1"/>
      <c r="CH9" s="1"/>
    </row>
    <row r="10" spans="1:86" ht="15.75" customHeight="1" x14ac:dyDescent="0.3">
      <c r="A10" s="10">
        <v>12</v>
      </c>
      <c r="B10" s="10">
        <v>3</v>
      </c>
      <c r="C10" s="10">
        <v>25</v>
      </c>
      <c r="D10" s="10" t="s">
        <v>4</v>
      </c>
      <c r="E10" s="15">
        <f>0.38-0.01-0.04-0.003-0.011-0.002-0.075</f>
        <v>0.23899999999999999</v>
      </c>
      <c r="CC10" s="1"/>
      <c r="CD10" s="1"/>
      <c r="CE10" s="1"/>
      <c r="CF10" s="1"/>
      <c r="CG10" s="1"/>
      <c r="CH10" s="1"/>
    </row>
    <row r="11" spans="1:86" ht="15.75" customHeight="1" x14ac:dyDescent="0.3">
      <c r="A11" s="8">
        <v>14</v>
      </c>
      <c r="B11" s="8">
        <v>1.5</v>
      </c>
      <c r="C11" s="8">
        <v>20</v>
      </c>
      <c r="D11" s="8" t="s">
        <v>4</v>
      </c>
      <c r="E11" s="9">
        <f>0.955-0.006-0.007</f>
        <v>0.94199999999999995</v>
      </c>
      <c r="CC11" s="1"/>
      <c r="CD11" s="1"/>
      <c r="CE11" s="1"/>
      <c r="CF11" s="1"/>
      <c r="CG11" s="1"/>
      <c r="CH11" s="1"/>
    </row>
    <row r="12" spans="1:86" ht="15.75" customHeight="1" x14ac:dyDescent="0.3">
      <c r="A12" s="10">
        <v>14</v>
      </c>
      <c r="B12" s="10">
        <v>2</v>
      </c>
      <c r="C12" s="10" t="s">
        <v>26</v>
      </c>
      <c r="D12" s="10" t="s">
        <v>4</v>
      </c>
      <c r="E12" s="15">
        <f>0.21-0.001-0.024-0.03-0.175+0.021</f>
        <v>1.0000000000000113E-3</v>
      </c>
      <c r="CC12" s="1"/>
      <c r="CD12" s="1"/>
      <c r="CE12" s="1"/>
      <c r="CF12" s="1"/>
      <c r="CG12" s="1"/>
      <c r="CH12" s="1"/>
    </row>
    <row r="13" spans="1:86" ht="15.75" customHeight="1" x14ac:dyDescent="0.3">
      <c r="A13" s="10">
        <v>14</v>
      </c>
      <c r="B13" s="10">
        <v>2.5</v>
      </c>
      <c r="C13" s="10">
        <v>20</v>
      </c>
      <c r="D13" s="10" t="s">
        <v>4</v>
      </c>
      <c r="E13" s="15">
        <f>0.23-0.001-0.001-0.015-0.055-0.037-0.12+0.02-0.001-0.003</f>
        <v>1.7000000000000029E-2</v>
      </c>
      <c r="CC13" s="1"/>
      <c r="CD13" s="1"/>
      <c r="CE13" s="1"/>
      <c r="CF13" s="1"/>
      <c r="CG13" s="1"/>
      <c r="CH13" s="1"/>
    </row>
    <row r="14" spans="1:86" ht="15.75" customHeight="1" x14ac:dyDescent="0.3">
      <c r="A14" s="10">
        <v>14</v>
      </c>
      <c r="B14" s="10">
        <v>2.5</v>
      </c>
      <c r="C14" s="10">
        <v>20</v>
      </c>
      <c r="D14" s="10" t="s">
        <v>4</v>
      </c>
      <c r="E14" s="15">
        <f>0.12-0.002+0.003-0.002-0.034-0.015-0.013-0.013-0.007-0.004-0.004-0.001-0.008-0.004-0.008+0.072-0.009-0.02-0.004-0.001-0.002-0.001-0.005-0.008-0.007</f>
        <v>2.2999999999999986E-2</v>
      </c>
      <c r="CC14" s="1"/>
      <c r="CD14" s="1"/>
      <c r="CE14" s="1"/>
      <c r="CF14" s="1"/>
      <c r="CG14" s="1"/>
      <c r="CH14" s="1"/>
    </row>
    <row r="15" spans="1:86" ht="15.75" customHeight="1" x14ac:dyDescent="0.3">
      <c r="A15" s="10">
        <v>14</v>
      </c>
      <c r="B15" s="10">
        <v>2.5</v>
      </c>
      <c r="C15" s="10" t="s">
        <v>26</v>
      </c>
      <c r="D15" s="10" t="s">
        <v>4</v>
      </c>
      <c r="E15" s="15">
        <f>0.2-0.007-0.041-0.009-0.025-0.008-0.006-0.008-0.001-0.056+0.071-0.001-0.002-0.04-0.001-0.007-0.009-0.01-0.003-0.004-0.001-0.009-0.002-0.007-0.004+0.03-0.005-0.011-0.008-0.001-0.009</f>
        <v>5.9999999999999411E-3</v>
      </c>
      <c r="CC15" s="1"/>
      <c r="CD15" s="1"/>
      <c r="CE15" s="1"/>
      <c r="CF15" s="1"/>
      <c r="CG15" s="1"/>
      <c r="CH15" s="1"/>
    </row>
    <row r="16" spans="1:86" ht="15.75" customHeight="1" x14ac:dyDescent="0.3">
      <c r="A16" s="10">
        <v>14</v>
      </c>
      <c r="B16" s="10">
        <v>2.5</v>
      </c>
      <c r="C16" s="10" t="s">
        <v>26</v>
      </c>
      <c r="D16" s="10" t="s">
        <v>4</v>
      </c>
      <c r="E16" s="15">
        <f>0.55-0.01-0.01-0.007-0.013-0.039-0.004-0.004-0.02-0.01</f>
        <v>0.433</v>
      </c>
      <c r="CC16" s="1"/>
      <c r="CD16" s="1"/>
      <c r="CE16" s="1"/>
      <c r="CF16" s="1"/>
      <c r="CG16" s="1"/>
      <c r="CH16" s="1"/>
    </row>
    <row r="17" spans="1:86" ht="15.75" customHeight="1" x14ac:dyDescent="0.3">
      <c r="A17" s="10">
        <v>14</v>
      </c>
      <c r="B17" s="10">
        <v>3</v>
      </c>
      <c r="C17" s="10" t="s">
        <v>26</v>
      </c>
      <c r="D17" s="10" t="s">
        <v>4</v>
      </c>
      <c r="E17" s="15">
        <f>3.15-0.012-0.012-0.001-0.011-0.001-0.002+1-0.004-0.008-0.011-0.012-0.011-0.002-0.002-0.005</f>
        <v>4.0560000000000018</v>
      </c>
      <c r="CC17" s="1"/>
      <c r="CD17" s="1"/>
      <c r="CE17" s="1"/>
      <c r="CF17" s="1"/>
      <c r="CG17" s="1"/>
      <c r="CH17" s="1"/>
    </row>
    <row r="18" spans="1:86" ht="15.75" customHeight="1" x14ac:dyDescent="0.3">
      <c r="A18" s="10">
        <v>14</v>
      </c>
      <c r="B18" s="10">
        <v>4</v>
      </c>
      <c r="C18" s="10" t="s">
        <v>26</v>
      </c>
      <c r="D18" s="10" t="s">
        <v>4</v>
      </c>
      <c r="E18" s="15">
        <f>0.23-0.003-0.026-0.005-0.001-0.001-0.021-0.004-0.006-0.19+0.032</f>
        <v>5.0000000000000044E-3</v>
      </c>
      <c r="CC18" s="1"/>
      <c r="CD18" s="1"/>
      <c r="CE18" s="1"/>
      <c r="CF18" s="1"/>
      <c r="CG18" s="1"/>
      <c r="CH18" s="1"/>
    </row>
    <row r="19" spans="1:86" ht="15.75" customHeight="1" x14ac:dyDescent="0.3">
      <c r="A19" s="10">
        <v>14</v>
      </c>
      <c r="B19" s="10">
        <v>4</v>
      </c>
      <c r="C19" s="10" t="s">
        <v>26</v>
      </c>
      <c r="D19" s="10" t="s">
        <v>4</v>
      </c>
      <c r="E19" s="15">
        <f>0.95-0.022-0.011-0.032-0.003-0.034-0.001-0.001</f>
        <v>0.84599999999999986</v>
      </c>
      <c r="CC19" s="1"/>
      <c r="CD19" s="1"/>
      <c r="CE19" s="1"/>
      <c r="CF19" s="1"/>
      <c r="CG19" s="1"/>
      <c r="CH19" s="1"/>
    </row>
    <row r="20" spans="1:86" ht="15.75" customHeight="1" x14ac:dyDescent="0.3">
      <c r="A20" s="10">
        <v>16</v>
      </c>
      <c r="B20" s="10">
        <v>1.6</v>
      </c>
      <c r="C20" s="10">
        <v>20</v>
      </c>
      <c r="D20" s="10" t="s">
        <v>4</v>
      </c>
      <c r="E20" s="15">
        <f>0.315-0.001-0.001-0.007-0.1</f>
        <v>0.20599999999999999</v>
      </c>
      <c r="CC20" s="1"/>
      <c r="CD20" s="1"/>
      <c r="CE20" s="1"/>
      <c r="CF20" s="1"/>
      <c r="CG20" s="1"/>
      <c r="CH20" s="1"/>
    </row>
    <row r="21" spans="1:86" ht="15.75" customHeight="1" x14ac:dyDescent="0.3">
      <c r="A21" s="10">
        <v>16</v>
      </c>
      <c r="B21" s="10">
        <v>1.6</v>
      </c>
      <c r="C21" s="10" t="s">
        <v>26</v>
      </c>
      <c r="D21" s="10" t="s">
        <v>4</v>
      </c>
      <c r="E21" s="15">
        <f>0.325-0.006-0.001-0.001-0.027-0.002</f>
        <v>0.28799999999999998</v>
      </c>
      <c r="CC21" s="1"/>
      <c r="CD21" s="1"/>
      <c r="CE21" s="1"/>
      <c r="CF21" s="1"/>
      <c r="CG21" s="1"/>
      <c r="CH21" s="1"/>
    </row>
    <row r="22" spans="1:86" ht="15.75" customHeight="1" x14ac:dyDescent="0.3">
      <c r="A22" s="10">
        <v>16</v>
      </c>
      <c r="B22" s="10">
        <v>2</v>
      </c>
      <c r="C22" s="10">
        <v>20</v>
      </c>
      <c r="D22" s="10" t="s">
        <v>4</v>
      </c>
      <c r="E22" s="15">
        <f>0.3-0.002-0.008-0.001-0.003-0.008-0.016-0.004-0.008-0.008-0.003-0.001-0.002-0.001-0.008-0.004-0.025</f>
        <v>0.19799999999999993</v>
      </c>
      <c r="CC22" s="1"/>
      <c r="CD22" s="1"/>
      <c r="CE22" s="1"/>
      <c r="CF22" s="1"/>
      <c r="CG22" s="1"/>
      <c r="CH22" s="1"/>
    </row>
    <row r="23" spans="1:86" ht="15.75" customHeight="1" x14ac:dyDescent="0.3">
      <c r="A23" s="10">
        <v>16</v>
      </c>
      <c r="B23" s="10">
        <v>2</v>
      </c>
      <c r="C23" s="10" t="s">
        <v>26</v>
      </c>
      <c r="D23" s="10" t="s">
        <v>4</v>
      </c>
      <c r="E23" s="15">
        <f>0.315-0.008-0.006-0.008-0.011-0.001-0.008-0.002-0.007-0.001-0.004</f>
        <v>0.25899999999999995</v>
      </c>
      <c r="CC23" s="1"/>
      <c r="CD23" s="1"/>
      <c r="CE23" s="1"/>
      <c r="CF23" s="1"/>
      <c r="CG23" s="1"/>
      <c r="CH23" s="1"/>
    </row>
    <row r="24" spans="1:86" ht="15.75" customHeight="1" x14ac:dyDescent="0.3">
      <c r="A24" s="10">
        <v>16</v>
      </c>
      <c r="B24" s="10">
        <v>2.5</v>
      </c>
      <c r="C24" s="10" t="s">
        <v>26</v>
      </c>
      <c r="D24" s="10" t="s">
        <v>4</v>
      </c>
      <c r="E24" s="15">
        <f>0.51-0.12-0.005-0.19-0.01-0.006-0.001-0.001-0.009</f>
        <v>0.16799999999999998</v>
      </c>
      <c r="CC24" s="1"/>
      <c r="CD24" s="1"/>
      <c r="CE24" s="1"/>
      <c r="CF24" s="1"/>
      <c r="CG24" s="1"/>
      <c r="CH24" s="1"/>
    </row>
    <row r="25" spans="1:86" ht="15.75" customHeight="1" x14ac:dyDescent="0.3">
      <c r="A25" s="10">
        <v>16</v>
      </c>
      <c r="B25" s="10">
        <v>3</v>
      </c>
      <c r="C25" s="10">
        <v>20</v>
      </c>
      <c r="D25" s="10" t="s">
        <v>4</v>
      </c>
      <c r="E25" s="15">
        <f>0.32-0.013-0.001-0.012-0.01-0.013-0.004-0.003-0.013-0.013</f>
        <v>0.23799999999999993</v>
      </c>
      <c r="CC25" s="1"/>
      <c r="CD25" s="1"/>
      <c r="CE25" s="1"/>
      <c r="CF25" s="1"/>
      <c r="CG25" s="1"/>
      <c r="CH25" s="1"/>
    </row>
    <row r="26" spans="1:86" x14ac:dyDescent="0.3">
      <c r="A26" s="10">
        <v>16</v>
      </c>
      <c r="B26" s="10">
        <v>3</v>
      </c>
      <c r="C26" s="10" t="s">
        <v>31</v>
      </c>
      <c r="D26" s="10" t="s">
        <v>32</v>
      </c>
      <c r="E26" s="15">
        <f>0.42-0.001</f>
        <v>0.41899999999999998</v>
      </c>
      <c r="CC26" s="1"/>
      <c r="CD26" s="1"/>
      <c r="CE26" s="1"/>
      <c r="CF26" s="1"/>
      <c r="CG26" s="1"/>
      <c r="CH26" s="1"/>
    </row>
    <row r="27" spans="1:86" x14ac:dyDescent="0.3">
      <c r="A27" s="10">
        <v>16</v>
      </c>
      <c r="B27" s="10">
        <v>3</v>
      </c>
      <c r="C27" s="10" t="s">
        <v>29</v>
      </c>
      <c r="D27" s="10" t="s">
        <v>3</v>
      </c>
      <c r="E27" s="15">
        <f>0.205-0.03-0.009-0.014-0.007-0.006-0.009</f>
        <v>0.12999999999999995</v>
      </c>
      <c r="CC27" s="1"/>
      <c r="CD27" s="1"/>
      <c r="CE27" s="1"/>
      <c r="CF27" s="1"/>
      <c r="CG27" s="1"/>
      <c r="CH27" s="1"/>
    </row>
    <row r="28" spans="1:86" ht="15.75" customHeight="1" x14ac:dyDescent="0.3">
      <c r="A28" s="10">
        <v>16</v>
      </c>
      <c r="B28" s="10">
        <v>4</v>
      </c>
      <c r="C28" s="10">
        <v>20</v>
      </c>
      <c r="D28" s="10" t="s">
        <v>4</v>
      </c>
      <c r="E28" s="15">
        <f>0.31-0.009-0.071-0.002-0.057-0.005-0.1</f>
        <v>6.5999999999999975E-2</v>
      </c>
      <c r="CC28" s="1"/>
      <c r="CD28" s="1"/>
      <c r="CE28" s="1"/>
      <c r="CF28" s="1"/>
      <c r="CG28" s="1"/>
      <c r="CH28" s="1"/>
    </row>
    <row r="29" spans="1:86" ht="15.75" customHeight="1" x14ac:dyDescent="0.3">
      <c r="A29" s="10">
        <v>16</v>
      </c>
      <c r="B29" s="10">
        <v>4</v>
      </c>
      <c r="C29" s="10" t="s">
        <v>26</v>
      </c>
      <c r="D29" s="10" t="s">
        <v>4</v>
      </c>
      <c r="E29" s="15">
        <f>0.505-0.002-0.001-0.003-0.008-0.002-0.006</f>
        <v>0.48299999999999998</v>
      </c>
      <c r="CC29" s="1"/>
      <c r="CD29" s="1"/>
      <c r="CE29" s="1"/>
      <c r="CF29" s="1"/>
      <c r="CG29" s="1"/>
      <c r="CH29" s="1"/>
    </row>
    <row r="30" spans="1:86" ht="15.75" customHeight="1" x14ac:dyDescent="0.3">
      <c r="A30" s="8">
        <v>18</v>
      </c>
      <c r="B30" s="8">
        <v>2</v>
      </c>
      <c r="C30" s="8">
        <v>20</v>
      </c>
      <c r="D30" s="8" t="s">
        <v>4</v>
      </c>
      <c r="E30" s="9">
        <f>3.591-0.002-0.004-0.002-0.018-0.002-0.007-0.026-0.004-0.002-0.006-0.008-0.001-0.01-0.03-0.19-0.003-0.002-0.03-0.006-0.01-0.002-0.036-0.013-0.002-0.016</f>
        <v>3.1590000000000034</v>
      </c>
      <c r="CC30" s="1"/>
      <c r="CD30" s="1"/>
      <c r="CE30" s="1"/>
      <c r="CF30" s="1"/>
      <c r="CG30" s="1"/>
      <c r="CH30" s="1"/>
    </row>
    <row r="31" spans="1:86" ht="15.75" customHeight="1" x14ac:dyDescent="0.3">
      <c r="A31" s="8">
        <v>18</v>
      </c>
      <c r="B31" s="8">
        <v>2</v>
      </c>
      <c r="C31" s="8">
        <v>20</v>
      </c>
      <c r="D31" s="8" t="s">
        <v>8</v>
      </c>
      <c r="E31" s="9">
        <f>0.222-0.005-0.011</f>
        <v>0.20599999999999999</v>
      </c>
      <c r="CC31" s="1"/>
      <c r="CD31" s="1"/>
      <c r="CE31" s="1"/>
      <c r="CF31" s="1"/>
      <c r="CG31" s="1"/>
      <c r="CH31" s="1"/>
    </row>
    <row r="32" spans="1:86" ht="15.75" customHeight="1" x14ac:dyDescent="0.3">
      <c r="A32" s="10">
        <v>18</v>
      </c>
      <c r="B32" s="10">
        <v>2.5</v>
      </c>
      <c r="C32" s="10">
        <v>20</v>
      </c>
      <c r="D32" s="10" t="s">
        <v>4</v>
      </c>
      <c r="E32" s="15">
        <f>0.189-0.001-0.017-0.005-0.05-0.007+0.008-0.012-0.029-0.007-0.013-0.005-0.009-0.005-0.005-0.005+0.04+0.205-0.01-0.003+0.09-0.003-0.005-0.002-0.007</f>
        <v>0.33199999999999996</v>
      </c>
      <c r="CC32" s="1"/>
      <c r="CD32" s="1"/>
      <c r="CE32" s="1"/>
      <c r="CF32" s="1"/>
      <c r="CG32" s="1"/>
      <c r="CH32" s="1"/>
    </row>
    <row r="33" spans="1:86" ht="15.75" customHeight="1" x14ac:dyDescent="0.3">
      <c r="A33" s="10">
        <v>18</v>
      </c>
      <c r="B33" s="10">
        <v>2.5</v>
      </c>
      <c r="C33" s="10" t="s">
        <v>26</v>
      </c>
      <c r="D33" s="10" t="s">
        <v>4</v>
      </c>
      <c r="E33" s="15">
        <f>0.53-0.012-0.012-0.002-0.012-0.005-0.003-0.024-0.03</f>
        <v>0.42999999999999994</v>
      </c>
      <c r="CC33" s="1"/>
      <c r="CD33" s="1"/>
      <c r="CE33" s="1"/>
      <c r="CF33" s="1"/>
      <c r="CG33" s="1"/>
      <c r="CH33" s="1"/>
    </row>
    <row r="34" spans="1:86" ht="15.75" customHeight="1" x14ac:dyDescent="0.3">
      <c r="A34" s="10">
        <v>18</v>
      </c>
      <c r="B34" s="10">
        <v>3</v>
      </c>
      <c r="C34" s="10">
        <v>20</v>
      </c>
      <c r="D34" s="10" t="s">
        <v>4</v>
      </c>
      <c r="E34" s="15">
        <f>0.305-0.002-0.05-0.2-0.001-0.002-0.038-0.025+0.05-0.002-0.021</f>
        <v>1.3999999999999988E-2</v>
      </c>
      <c r="CC34" s="1"/>
      <c r="CD34" s="1"/>
      <c r="CE34" s="1"/>
      <c r="CF34" s="1"/>
      <c r="CG34" s="1"/>
      <c r="CH34" s="1"/>
    </row>
    <row r="35" spans="1:86" ht="15.75" customHeight="1" x14ac:dyDescent="0.3">
      <c r="A35" s="10">
        <v>18</v>
      </c>
      <c r="B35" s="10">
        <v>3</v>
      </c>
      <c r="C35" s="10" t="s">
        <v>26</v>
      </c>
      <c r="D35" s="10" t="s">
        <v>4</v>
      </c>
      <c r="E35" s="15">
        <f>0.55-0.013-0.003-0.011-0.013-0.013-0.013-0.002-0.002-0.009-0.002-0.019-0.002-0.005-0.005-0.005-0.013-0.104-0.002-0.026-0.009-0.003-0.003-0.009-0.001-0.001-0.006-0.001-0.002-0.115-0.002-0.006-0.038</f>
        <v>9.1999999999999887E-2</v>
      </c>
      <c r="CC35" s="1"/>
      <c r="CD35" s="1"/>
      <c r="CE35" s="1"/>
      <c r="CF35" s="1"/>
      <c r="CG35" s="1"/>
      <c r="CH35" s="1"/>
    </row>
    <row r="36" spans="1:86" ht="15.75" customHeight="1" x14ac:dyDescent="0.3">
      <c r="A36" s="10">
        <v>18</v>
      </c>
      <c r="B36" s="10">
        <v>3</v>
      </c>
      <c r="C36" s="10" t="s">
        <v>29</v>
      </c>
      <c r="D36" s="10" t="s">
        <v>3</v>
      </c>
      <c r="E36" s="15">
        <f>0.475-0.006-0.012-0.014-0.02</f>
        <v>0.42299999999999993</v>
      </c>
      <c r="CC36" s="1"/>
      <c r="CD36" s="1"/>
      <c r="CE36" s="1"/>
      <c r="CF36" s="1"/>
      <c r="CG36" s="1"/>
      <c r="CH36" s="1"/>
    </row>
    <row r="37" spans="1:86" ht="15.75" customHeight="1" x14ac:dyDescent="0.3">
      <c r="A37" s="10">
        <v>18</v>
      </c>
      <c r="B37" s="10">
        <v>4</v>
      </c>
      <c r="C37" s="10">
        <v>20</v>
      </c>
      <c r="D37" s="10" t="s">
        <v>4</v>
      </c>
      <c r="E37" s="15">
        <f>0.3-0.1-0.002-0.029-0.03-0.01-0.002-0.004-0.029-0.015-0.005-0.029-0.005-0.01-0.015</f>
        <v>1.4999999999999972E-2</v>
      </c>
      <c r="CC37" s="1"/>
      <c r="CD37" s="1"/>
      <c r="CE37" s="1"/>
      <c r="CF37" s="1"/>
      <c r="CG37" s="1"/>
      <c r="CH37" s="1"/>
    </row>
    <row r="38" spans="1:86" ht="15.75" customHeight="1" x14ac:dyDescent="0.3">
      <c r="A38" s="10">
        <v>18</v>
      </c>
      <c r="B38" s="10">
        <v>4</v>
      </c>
      <c r="C38" s="10" t="s">
        <v>26</v>
      </c>
      <c r="D38" s="10" t="s">
        <v>4</v>
      </c>
      <c r="E38" s="15">
        <f>0.3-0.005-0.043+1.73-0.015-0.13-0.043-0.001-0.135-0.005-0.011-0.002-0.004-0.029-0.009-0.005-0.015-0.01</f>
        <v>1.5680000000000009</v>
      </c>
      <c r="CC38" s="1"/>
      <c r="CD38" s="1"/>
      <c r="CE38" s="1"/>
      <c r="CF38" s="1"/>
      <c r="CG38" s="1"/>
      <c r="CH38" s="1"/>
    </row>
    <row r="39" spans="1:86" x14ac:dyDescent="0.3">
      <c r="A39" s="10">
        <v>18</v>
      </c>
      <c r="B39" s="10">
        <v>4</v>
      </c>
      <c r="C39" s="10" t="s">
        <v>29</v>
      </c>
      <c r="D39" s="10" t="s">
        <v>3</v>
      </c>
      <c r="E39" s="15">
        <f>0.83-0.077-0.06-0.01-0.011-0.002-0.012-0.053</f>
        <v>0.60499999999999998</v>
      </c>
      <c r="CC39" s="1"/>
      <c r="CD39" s="1"/>
      <c r="CE39" s="1"/>
      <c r="CF39" s="1"/>
      <c r="CG39" s="1"/>
      <c r="CH39" s="1"/>
    </row>
    <row r="40" spans="1:86" x14ac:dyDescent="0.3">
      <c r="A40" s="10">
        <v>19</v>
      </c>
      <c r="B40" s="10">
        <v>2</v>
      </c>
      <c r="C40" s="10" t="s">
        <v>21</v>
      </c>
      <c r="D40" s="10" t="s">
        <v>4</v>
      </c>
      <c r="E40" s="15">
        <f>1.055-0.01</f>
        <v>1.0449999999999999</v>
      </c>
      <c r="CC40" s="1"/>
      <c r="CD40" s="1"/>
      <c r="CE40" s="1"/>
      <c r="CF40" s="1"/>
      <c r="CG40" s="1"/>
      <c r="CH40" s="1"/>
    </row>
    <row r="41" spans="1:86" x14ac:dyDescent="0.3">
      <c r="A41" s="10">
        <v>19</v>
      </c>
      <c r="B41" s="10">
        <v>3</v>
      </c>
      <c r="C41" s="10" t="s">
        <v>43</v>
      </c>
      <c r="D41" s="10" t="s">
        <v>4</v>
      </c>
      <c r="E41" s="15">
        <f>5.34-0.015-0.013</f>
        <v>5.3120000000000003</v>
      </c>
      <c r="CC41" s="1"/>
      <c r="CD41" s="1"/>
      <c r="CE41" s="1"/>
      <c r="CF41" s="1"/>
      <c r="CG41" s="1"/>
      <c r="CH41" s="1"/>
    </row>
    <row r="42" spans="1:86" x14ac:dyDescent="0.3">
      <c r="A42" s="10">
        <v>20</v>
      </c>
      <c r="B42" s="10">
        <v>1</v>
      </c>
      <c r="C42" s="10">
        <v>20</v>
      </c>
      <c r="D42" s="10" t="s">
        <v>4</v>
      </c>
      <c r="E42" s="15">
        <f>0.15+0.06-0.02-0.024-0.001-0.003-0.001-0.001-0.003-0.007-0.005</f>
        <v>0.14499999999999999</v>
      </c>
      <c r="CC42" s="1"/>
      <c r="CD42" s="1"/>
      <c r="CE42" s="1"/>
      <c r="CF42" s="1"/>
      <c r="CG42" s="1"/>
      <c r="CH42" s="1"/>
    </row>
    <row r="43" spans="1:86" x14ac:dyDescent="0.3">
      <c r="A43" s="10">
        <v>20</v>
      </c>
      <c r="B43" s="10">
        <v>1</v>
      </c>
      <c r="C43" s="10" t="s">
        <v>26</v>
      </c>
      <c r="D43" s="10" t="s">
        <v>4</v>
      </c>
      <c r="E43" s="15">
        <f>0.215-0.014-0.007</f>
        <v>0.19399999999999998</v>
      </c>
      <c r="CC43" s="1"/>
      <c r="CD43" s="1"/>
      <c r="CE43" s="1"/>
      <c r="CF43" s="1"/>
      <c r="CG43" s="1"/>
      <c r="CH43" s="1"/>
    </row>
    <row r="44" spans="1:86" x14ac:dyDescent="0.3">
      <c r="A44" s="10">
        <v>20</v>
      </c>
      <c r="B44" s="10">
        <v>1.5</v>
      </c>
      <c r="C44" s="10">
        <v>10</v>
      </c>
      <c r="D44" s="10" t="s">
        <v>4</v>
      </c>
      <c r="E44" s="15">
        <f>1.066-0.006</f>
        <v>1.06</v>
      </c>
      <c r="CC44" s="1"/>
      <c r="CD44" s="1"/>
      <c r="CE44" s="1"/>
      <c r="CF44" s="1"/>
      <c r="CG44" s="1"/>
      <c r="CH44" s="1"/>
    </row>
    <row r="45" spans="1:86" x14ac:dyDescent="0.3">
      <c r="A45" s="10">
        <v>20</v>
      </c>
      <c r="B45" s="10">
        <v>2</v>
      </c>
      <c r="C45" s="10">
        <v>20</v>
      </c>
      <c r="D45" s="10" t="s">
        <v>4</v>
      </c>
      <c r="E45" s="15">
        <f>0.5+0.004-0.002-0.003-0.009-0.01-0.006-0.073-0.008-0.02-0.05-0.008-0.007-0.047-0.003-0.023-0.04-0.042-0.015-0.01-0.01-0.007-0.15+0.06-0.003-0.002-0.013</f>
        <v>2.9999999999999524E-3</v>
      </c>
      <c r="CC45" s="1"/>
      <c r="CD45" s="1"/>
      <c r="CE45" s="1"/>
      <c r="CF45" s="1"/>
      <c r="CG45" s="1"/>
      <c r="CH45" s="1"/>
    </row>
    <row r="46" spans="1:86" x14ac:dyDescent="0.3">
      <c r="A46" s="10">
        <v>20</v>
      </c>
      <c r="B46" s="10">
        <v>2</v>
      </c>
      <c r="C46" s="10" t="s">
        <v>26</v>
      </c>
      <c r="D46" s="10" t="s">
        <v>4</v>
      </c>
      <c r="E46" s="15">
        <f>0.105+0.215-0.002-0.004-0.022-0.008-0.009-0.025-0.016-0.002-0.106-0.043-0.007-0.02-0.006-0.005-0.002-0.011-0.001-0.004+0.1-0.002-0.115</f>
        <v>9.999999999999995E-3</v>
      </c>
      <c r="CC46" s="1"/>
      <c r="CD46" s="1"/>
      <c r="CE46" s="1"/>
      <c r="CF46" s="1"/>
      <c r="CG46" s="1"/>
      <c r="CH46" s="1"/>
    </row>
    <row r="47" spans="1:86" x14ac:dyDescent="0.3">
      <c r="A47" s="10">
        <v>20</v>
      </c>
      <c r="B47" s="10">
        <v>2.5</v>
      </c>
      <c r="C47" s="10" t="s">
        <v>72</v>
      </c>
      <c r="D47" s="10" t="s">
        <v>23</v>
      </c>
      <c r="E47" s="15">
        <f>0.066-0.004-0.025-0.008+0.011</f>
        <v>3.9999999999999994E-2</v>
      </c>
      <c r="CC47" s="1"/>
      <c r="CD47" s="1"/>
      <c r="CE47" s="1"/>
      <c r="CF47" s="1"/>
      <c r="CG47" s="1"/>
      <c r="CH47" s="1"/>
    </row>
    <row r="48" spans="1:86" x14ac:dyDescent="0.3">
      <c r="A48" s="10">
        <v>20</v>
      </c>
      <c r="B48" s="10">
        <v>2.5</v>
      </c>
      <c r="C48" s="10">
        <v>20</v>
      </c>
      <c r="D48" s="10" t="s">
        <v>23</v>
      </c>
      <c r="E48" s="15">
        <v>1.0999999999999999E-2</v>
      </c>
      <c r="CC48" s="1"/>
      <c r="CD48" s="1"/>
      <c r="CE48" s="1"/>
      <c r="CF48" s="1"/>
      <c r="CG48" s="1"/>
      <c r="CH48" s="1"/>
    </row>
    <row r="49" spans="1:86" x14ac:dyDescent="0.3">
      <c r="A49" s="10">
        <v>20</v>
      </c>
      <c r="B49" s="10">
        <v>2.5</v>
      </c>
      <c r="C49" s="10">
        <v>20</v>
      </c>
      <c r="D49" s="10" t="s">
        <v>4</v>
      </c>
      <c r="E49" s="15">
        <f>1.118-0.002-0.002-0.022-0.009-0.009-0.035+0.205-0.01-0.004+0.006-0.027-0.004-0.009</f>
        <v>1.1960000000000006</v>
      </c>
      <c r="CC49" s="1"/>
      <c r="CD49" s="1"/>
      <c r="CE49" s="1"/>
      <c r="CF49" s="1"/>
      <c r="CG49" s="1"/>
      <c r="CH49" s="1"/>
    </row>
    <row r="50" spans="1:86" x14ac:dyDescent="0.3">
      <c r="A50" s="10">
        <v>20</v>
      </c>
      <c r="B50" s="10">
        <v>2.5</v>
      </c>
      <c r="C50" s="10" t="s">
        <v>26</v>
      </c>
      <c r="D50" s="10" t="s">
        <v>4</v>
      </c>
      <c r="E50" s="15">
        <f>2.075-0.038-0.013-0.011-0.002-0.005-0.006-0.011-0.005-0.003-0.55-0.036-0.039-0.005-0.31</f>
        <v>1.0410000000000013</v>
      </c>
      <c r="CC50" s="1"/>
      <c r="CD50" s="1"/>
      <c r="CE50" s="1"/>
      <c r="CF50" s="1"/>
      <c r="CG50" s="1"/>
      <c r="CH50" s="1"/>
    </row>
    <row r="51" spans="1:86" x14ac:dyDescent="0.3">
      <c r="A51" s="10">
        <v>20</v>
      </c>
      <c r="B51" s="10">
        <v>2.5</v>
      </c>
      <c r="C51" s="10" t="s">
        <v>107</v>
      </c>
      <c r="D51" s="10" t="s">
        <v>16</v>
      </c>
      <c r="E51" s="15">
        <f>0.004-0.002</f>
        <v>2E-3</v>
      </c>
      <c r="CC51" s="1"/>
      <c r="CD51" s="1"/>
      <c r="CE51" s="1"/>
      <c r="CF51" s="1"/>
      <c r="CG51" s="1"/>
      <c r="CH51" s="1"/>
    </row>
    <row r="52" spans="1:86" x14ac:dyDescent="0.3">
      <c r="A52" s="10">
        <v>20</v>
      </c>
      <c r="B52" s="10">
        <v>3</v>
      </c>
      <c r="C52" s="10">
        <v>20</v>
      </c>
      <c r="D52" s="10" t="s">
        <v>4</v>
      </c>
      <c r="E52" s="15">
        <f>1.01-0.042-0.023-0.002-0.007-0.011-0.05-0.001-0.006+0.032-0.04-0.045-0.004-0.005-0.032-0.002-0.01-0.028-0.023-0.037-0.011-0.014-0.004-0.002-0.012-0.021-0.002-0.008+1.98-0.031-0.034-0.019-0.011-0.005-0.011-0.007-0.002-0.006-0.012-0.008</f>
        <v>2.4339999999999997</v>
      </c>
      <c r="CC52" s="1"/>
      <c r="CD52" s="1"/>
      <c r="CE52" s="1"/>
      <c r="CF52" s="1"/>
      <c r="CG52" s="1"/>
      <c r="CH52" s="1"/>
    </row>
    <row r="53" spans="1:86" x14ac:dyDescent="0.3">
      <c r="A53" s="10">
        <v>20</v>
      </c>
      <c r="B53" s="10">
        <v>3</v>
      </c>
      <c r="C53" s="10" t="s">
        <v>26</v>
      </c>
      <c r="D53" s="10" t="s">
        <v>4</v>
      </c>
      <c r="E53" s="15">
        <f>0.31-0.001-0.033-0.002-0.001-0.003-0.017-0.012-0.065-0.011-0.004</f>
        <v>0.16099999999999998</v>
      </c>
      <c r="CC53" s="1"/>
      <c r="CD53" s="1"/>
      <c r="CE53" s="1"/>
      <c r="CF53" s="1"/>
      <c r="CG53" s="1"/>
      <c r="CH53" s="1"/>
    </row>
    <row r="54" spans="1:86" x14ac:dyDescent="0.3">
      <c r="A54" s="10">
        <v>20</v>
      </c>
      <c r="B54" s="10">
        <v>4</v>
      </c>
      <c r="C54" s="10">
        <v>20</v>
      </c>
      <c r="D54" s="10" t="s">
        <v>4</v>
      </c>
      <c r="E54" s="15">
        <f>0.205-0.03-0.054-0.005-0.001-0.001-0.001-0.018-0.009-0.019-0.002-0.075+0.03-0.002-0.003-0.016+0.002</f>
        <v>9.9999999999998875E-4</v>
      </c>
      <c r="CC54" s="1"/>
      <c r="CD54" s="1"/>
      <c r="CE54" s="1"/>
      <c r="CF54" s="1"/>
      <c r="CG54" s="1"/>
      <c r="CH54" s="1"/>
    </row>
    <row r="55" spans="1:86" x14ac:dyDescent="0.3">
      <c r="A55" s="10">
        <v>20</v>
      </c>
      <c r="B55" s="10">
        <v>4</v>
      </c>
      <c r="C55" s="10" t="s">
        <v>26</v>
      </c>
      <c r="D55" s="10" t="s">
        <v>4</v>
      </c>
      <c r="E55" s="15">
        <f>1.05-0.005-0.003-0.001-0.11-0.003-0.019-0.018-0.007-0.019-0.003-0.002-0.007-0.015-0.03-0.002-0.003-0.012-0.003-0.019-0.019-0.005</f>
        <v>0.74500000000000022</v>
      </c>
      <c r="CC55" s="1"/>
      <c r="CD55" s="1"/>
      <c r="CE55" s="1"/>
      <c r="CF55" s="1"/>
      <c r="CG55" s="1"/>
      <c r="CH55" s="1"/>
    </row>
    <row r="56" spans="1:86" x14ac:dyDescent="0.3">
      <c r="A56" s="10">
        <v>22</v>
      </c>
      <c r="B56" s="10">
        <v>1</v>
      </c>
      <c r="C56" s="10">
        <v>20</v>
      </c>
      <c r="D56" s="10" t="s">
        <v>4</v>
      </c>
      <c r="E56" s="15">
        <f>0.207-0.003-0.035-0.009-0.003-0.016</f>
        <v>0.14099999999999996</v>
      </c>
      <c r="CC56" s="1"/>
      <c r="CD56" s="1"/>
      <c r="CE56" s="1"/>
      <c r="CF56" s="1"/>
      <c r="CG56" s="1"/>
      <c r="CH56" s="1"/>
    </row>
    <row r="57" spans="1:86" x14ac:dyDescent="0.3">
      <c r="A57" s="10">
        <v>22</v>
      </c>
      <c r="B57" s="10">
        <v>1.5</v>
      </c>
      <c r="C57" s="10">
        <v>20</v>
      </c>
      <c r="D57" s="10" t="s">
        <v>4</v>
      </c>
      <c r="E57" s="15">
        <f>3.508-0.6+0.6-0.025</f>
        <v>3.4830000000000001</v>
      </c>
      <c r="CC57" s="1"/>
      <c r="CD57" s="1"/>
      <c r="CE57" s="1"/>
      <c r="CF57" s="1"/>
      <c r="CG57" s="1"/>
      <c r="CH57" s="1"/>
    </row>
    <row r="58" spans="1:86" ht="15.75" customHeight="1" x14ac:dyDescent="0.3">
      <c r="A58" s="10">
        <v>22</v>
      </c>
      <c r="B58" s="10">
        <v>2</v>
      </c>
      <c r="C58" s="10" t="s">
        <v>28</v>
      </c>
      <c r="D58" s="10" t="s">
        <v>4</v>
      </c>
      <c r="E58" s="15">
        <f>0.295-0.009-0.009-0.012-0.013+0.004-0.03-0.003-0.002-0.007-0.013-0.013-0.001-0.01-0.002-0.011-0.01-0.019-0.001-0.009</f>
        <v>0.1249999999999999</v>
      </c>
      <c r="CC58" s="1"/>
      <c r="CD58" s="1"/>
      <c r="CE58" s="1"/>
      <c r="CF58" s="1"/>
      <c r="CG58" s="1"/>
      <c r="CH58" s="1"/>
    </row>
    <row r="59" spans="1:86" ht="15.75" customHeight="1" x14ac:dyDescent="0.3">
      <c r="A59" s="10">
        <v>22</v>
      </c>
      <c r="B59" s="10">
        <v>2.5</v>
      </c>
      <c r="C59" s="10">
        <v>20</v>
      </c>
      <c r="D59" s="10" t="s">
        <v>4</v>
      </c>
      <c r="E59" s="15">
        <f>0.215+0.47-0.15-0.02-0.002-0.021-0.015-0.025-0.003-0.002-0.01-0.01-0.013-0.002-0.055-0.006-0.027-0.009-0.001-0.011-0.006-0.015-0.342+0.168-0.04</f>
        <v>6.7999999999999727E-2</v>
      </c>
      <c r="CC59" s="1"/>
      <c r="CD59" s="1"/>
      <c r="CE59" s="1"/>
      <c r="CF59" s="1"/>
      <c r="CG59" s="1"/>
      <c r="CH59" s="1"/>
    </row>
    <row r="60" spans="1:86" ht="15.75" customHeight="1" x14ac:dyDescent="0.3">
      <c r="A60" s="10">
        <v>22</v>
      </c>
      <c r="B60" s="10">
        <v>2.5</v>
      </c>
      <c r="C60" s="10" t="s">
        <v>26</v>
      </c>
      <c r="D60" s="10" t="s">
        <v>4</v>
      </c>
      <c r="E60" s="15">
        <f>0.315-0.017-0.03-0.012-0.017-0.013-0.017-0.004-0.004</f>
        <v>0.20099999999999996</v>
      </c>
      <c r="CC60" s="1"/>
      <c r="CD60" s="1"/>
      <c r="CE60" s="1"/>
      <c r="CF60" s="1"/>
      <c r="CG60" s="1"/>
      <c r="CH60" s="1"/>
    </row>
    <row r="61" spans="1:86" x14ac:dyDescent="0.3">
      <c r="A61" s="10">
        <v>22</v>
      </c>
      <c r="B61" s="10">
        <v>3</v>
      </c>
      <c r="C61" s="10">
        <v>20</v>
      </c>
      <c r="D61" s="10" t="s">
        <v>4</v>
      </c>
      <c r="E61" s="15">
        <f>0.246-0.001-0.017-0.034-0.05-0.033-0.017-0.117+0.097-0.003-0.063-0.003</f>
        <v>4.9999999999999515E-3</v>
      </c>
      <c r="CC61" s="1"/>
      <c r="CD61" s="1"/>
      <c r="CE61" s="1"/>
      <c r="CF61" s="1"/>
      <c r="CG61" s="1"/>
      <c r="CH61" s="1"/>
    </row>
    <row r="62" spans="1:86" x14ac:dyDescent="0.3">
      <c r="A62" s="10">
        <v>22</v>
      </c>
      <c r="B62" s="10">
        <v>3</v>
      </c>
      <c r="C62" s="10">
        <v>20</v>
      </c>
      <c r="D62" s="10" t="s">
        <v>4</v>
      </c>
      <c r="E62" s="15">
        <f>0.515-0.016-0.001-0.11-0.008-0.004-0.013-0.04-0.005-0.064-0.004-0.003-0.001</f>
        <v>0.246</v>
      </c>
      <c r="CC62" s="1"/>
      <c r="CD62" s="1"/>
      <c r="CE62" s="1"/>
      <c r="CF62" s="1"/>
      <c r="CG62" s="1"/>
      <c r="CH62" s="1"/>
    </row>
    <row r="63" spans="1:86" ht="15.75" customHeight="1" x14ac:dyDescent="0.3">
      <c r="A63" s="10">
        <v>22</v>
      </c>
      <c r="B63" s="10">
        <v>3</v>
      </c>
      <c r="C63" s="10" t="s">
        <v>26</v>
      </c>
      <c r="D63" s="10" t="s">
        <v>4</v>
      </c>
      <c r="E63" s="15">
        <f>2.995-0.107-0.003-0.018-0.04-0.056-0.019-0.018-0.013-0.15-0.007-0.018-0.007-0.039-0.024-0.006-0.014-0.235-0.019-0.014-0.004-0.005-0.018-0.105-0.018</f>
        <v>2.0380000000000011</v>
      </c>
      <c r="CC63" s="1"/>
      <c r="CD63" s="1"/>
      <c r="CE63" s="1"/>
      <c r="CF63" s="1"/>
      <c r="CG63" s="1"/>
      <c r="CH63" s="1"/>
    </row>
    <row r="64" spans="1:86" x14ac:dyDescent="0.3">
      <c r="A64" s="10">
        <v>22</v>
      </c>
      <c r="B64" s="10">
        <v>4.5</v>
      </c>
      <c r="C64" s="10">
        <v>20</v>
      </c>
      <c r="D64" s="10" t="s">
        <v>4</v>
      </c>
      <c r="E64" s="15">
        <f>0.53-0.15-0.022-0.006-0.003-0.044-0.003-0.006-0.044-0.005-0.044-0.04-0.022</f>
        <v>0.14100000000000001</v>
      </c>
      <c r="CC64" s="1"/>
      <c r="CD64" s="1"/>
      <c r="CE64" s="1"/>
      <c r="CF64" s="1"/>
      <c r="CG64" s="1"/>
      <c r="CH64" s="1"/>
    </row>
    <row r="65" spans="1:86" x14ac:dyDescent="0.3">
      <c r="A65" s="10">
        <v>22</v>
      </c>
      <c r="B65" s="10">
        <v>4.5</v>
      </c>
      <c r="C65" s="10" t="s">
        <v>26</v>
      </c>
      <c r="D65" s="10" t="s">
        <v>4</v>
      </c>
      <c r="E65" s="15">
        <f>2.07-0.022-0.003-0.022-0.02-0.021-0.002-0.002-0.043-0.01-0.064-0.014-0.002-0.065-0.021-0.003-0.012-0.006-0.002-0.003-0.145-0.006-0.005-0.022-0.002-0.007-0.003</f>
        <v>1.5430000000000008</v>
      </c>
      <c r="CC65" s="1"/>
      <c r="CD65" s="1"/>
      <c r="CE65" s="1"/>
      <c r="CF65" s="1"/>
      <c r="CG65" s="1"/>
      <c r="CH65" s="1"/>
    </row>
    <row r="66" spans="1:86" x14ac:dyDescent="0.3">
      <c r="A66" s="10">
        <v>22</v>
      </c>
      <c r="B66" s="10">
        <v>6</v>
      </c>
      <c r="C66" s="10">
        <v>20</v>
      </c>
      <c r="D66" s="10" t="s">
        <v>4</v>
      </c>
      <c r="E66" s="15">
        <f>0.5-0.026-0.009-0.05-0.05-0.05-0.042-0.006-0.026-0.003-0.07-0.004-0.014</f>
        <v>0.15</v>
      </c>
      <c r="CC66" s="1"/>
      <c r="CD66" s="1"/>
      <c r="CE66" s="1"/>
      <c r="CF66" s="1"/>
      <c r="CG66" s="1"/>
      <c r="CH66" s="1"/>
    </row>
    <row r="67" spans="1:86" x14ac:dyDescent="0.3">
      <c r="A67" s="10">
        <v>23</v>
      </c>
      <c r="B67" s="10">
        <v>4</v>
      </c>
      <c r="C67" s="10">
        <v>20</v>
      </c>
      <c r="D67" s="10" t="s">
        <v>4</v>
      </c>
      <c r="E67" s="15">
        <f>1.045-0.082-0.079-0.003-0.515-0.001-0.001-0.004-0.003-0.003-0.003-0.004-0.017-0.003</f>
        <v>0.32699999999999996</v>
      </c>
      <c r="CC67" s="1"/>
      <c r="CD67" s="1"/>
      <c r="CE67" s="1"/>
      <c r="CF67" s="1"/>
      <c r="CG67" s="1"/>
      <c r="CH67" s="1"/>
    </row>
    <row r="68" spans="1:86" x14ac:dyDescent="0.3">
      <c r="A68" s="10">
        <v>23</v>
      </c>
      <c r="B68" s="10">
        <v>4</v>
      </c>
      <c r="C68" s="10" t="s">
        <v>26</v>
      </c>
      <c r="D68" s="10" t="s">
        <v>4</v>
      </c>
      <c r="E68" s="15">
        <v>0.96499999999999997</v>
      </c>
      <c r="CC68" s="1"/>
      <c r="CD68" s="1"/>
      <c r="CE68" s="1"/>
      <c r="CF68" s="1"/>
      <c r="CG68" s="1"/>
      <c r="CH68" s="1"/>
    </row>
    <row r="69" spans="1:86" x14ac:dyDescent="0.3">
      <c r="A69" s="10">
        <v>24</v>
      </c>
      <c r="B69" s="10">
        <v>3</v>
      </c>
      <c r="C69" s="10">
        <v>20</v>
      </c>
      <c r="D69" s="10" t="s">
        <v>4</v>
      </c>
      <c r="E69" s="15">
        <f>1.045-0.024-0.011-0.042-0.013-0.002-0.003-0.023-0.027</f>
        <v>0.89999999999999991</v>
      </c>
      <c r="CC69" s="1"/>
      <c r="CD69" s="1"/>
      <c r="CE69" s="1"/>
      <c r="CF69" s="1"/>
      <c r="CG69" s="1"/>
      <c r="CH69" s="1"/>
    </row>
    <row r="70" spans="1:86" x14ac:dyDescent="0.3">
      <c r="A70" s="10">
        <v>24</v>
      </c>
      <c r="B70" s="10">
        <v>3</v>
      </c>
      <c r="C70" s="10" t="s">
        <v>26</v>
      </c>
      <c r="D70" s="10" t="s">
        <v>4</v>
      </c>
      <c r="E70" s="15">
        <v>1.04</v>
      </c>
      <c r="CC70" s="1"/>
      <c r="CD70" s="1"/>
      <c r="CE70" s="1"/>
      <c r="CF70" s="1"/>
      <c r="CG70" s="1"/>
      <c r="CH70" s="1"/>
    </row>
    <row r="71" spans="1:86" x14ac:dyDescent="0.3">
      <c r="A71" s="10">
        <v>24</v>
      </c>
      <c r="B71" s="10">
        <v>5</v>
      </c>
      <c r="C71" s="10">
        <v>20</v>
      </c>
      <c r="D71" s="10" t="s">
        <v>4</v>
      </c>
      <c r="E71" s="15">
        <f>1.07-0.026-0.027+0.006-0.003-0.008-0.017-0.056-0.1</f>
        <v>0.83900000000000019</v>
      </c>
      <c r="CC71" s="1"/>
      <c r="CD71" s="1"/>
      <c r="CE71" s="1"/>
      <c r="CF71" s="1"/>
      <c r="CG71" s="1"/>
      <c r="CH71" s="1"/>
    </row>
    <row r="72" spans="1:86" x14ac:dyDescent="0.3">
      <c r="A72" s="10">
        <v>24</v>
      </c>
      <c r="B72" s="10">
        <v>5</v>
      </c>
      <c r="C72" s="10" t="s">
        <v>26</v>
      </c>
      <c r="D72" s="10" t="s">
        <v>4</v>
      </c>
      <c r="E72" s="15">
        <v>1.0449999999999999</v>
      </c>
      <c r="CC72" s="1"/>
      <c r="CD72" s="1"/>
      <c r="CE72" s="1"/>
      <c r="CF72" s="1"/>
      <c r="CG72" s="1"/>
      <c r="CH72" s="1"/>
    </row>
    <row r="73" spans="1:86" x14ac:dyDescent="0.3">
      <c r="A73" s="10">
        <v>24</v>
      </c>
      <c r="B73" s="10">
        <v>6.5</v>
      </c>
      <c r="C73" s="10">
        <v>20</v>
      </c>
      <c r="D73" s="10" t="s">
        <v>4</v>
      </c>
      <c r="E73" s="15">
        <f>1.01-0.052-0.054-0.079-0.006-0.105-0.004-0.018</f>
        <v>0.69199999999999995</v>
      </c>
      <c r="CC73" s="1"/>
      <c r="CD73" s="1"/>
      <c r="CE73" s="1"/>
      <c r="CF73" s="1"/>
      <c r="CG73" s="1"/>
      <c r="CH73" s="1"/>
    </row>
    <row r="74" spans="1:86" x14ac:dyDescent="0.3">
      <c r="A74" s="10">
        <v>24</v>
      </c>
      <c r="B74" s="10">
        <v>6.5</v>
      </c>
      <c r="C74" s="10" t="s">
        <v>26</v>
      </c>
      <c r="D74" s="10" t="s">
        <v>4</v>
      </c>
      <c r="E74" s="15">
        <v>1.04</v>
      </c>
      <c r="CC74" s="1"/>
      <c r="CD74" s="1"/>
      <c r="CE74" s="1"/>
      <c r="CF74" s="1"/>
      <c r="CG74" s="1"/>
      <c r="CH74" s="1"/>
    </row>
    <row r="75" spans="1:86" x14ac:dyDescent="0.3">
      <c r="A75" s="8">
        <v>25</v>
      </c>
      <c r="B75" s="8">
        <v>1.5</v>
      </c>
      <c r="C75" s="8">
        <v>20</v>
      </c>
      <c r="D75" s="8" t="s">
        <v>4</v>
      </c>
      <c r="E75" s="9">
        <f>1-0.012-0.002</f>
        <v>0.98599999999999999</v>
      </c>
      <c r="CC75" s="1"/>
      <c r="CD75" s="1"/>
      <c r="CE75" s="1"/>
      <c r="CF75" s="1"/>
      <c r="CG75" s="1"/>
      <c r="CH75" s="1"/>
    </row>
    <row r="76" spans="1:86" x14ac:dyDescent="0.3">
      <c r="A76" s="10">
        <v>25</v>
      </c>
      <c r="B76" s="10">
        <v>2</v>
      </c>
      <c r="C76" s="10">
        <v>20</v>
      </c>
      <c r="D76" s="10" t="s">
        <v>4</v>
      </c>
      <c r="E76" s="15">
        <f>8.155+2.06-0.01-0.002+0.01-0.01+0.018-0.002-0.036-0.009-0.014-0.007-0.004-0.005-0.01-0.009-0.027-0.005-0.064-0.055-0.001-0.002-0.004-0.037-0.02-0.01-0.003-0.002</f>
        <v>9.8949999999999996</v>
      </c>
      <c r="CC76" s="1"/>
      <c r="CD76" s="1"/>
      <c r="CE76" s="1"/>
      <c r="CF76" s="1"/>
      <c r="CG76" s="1"/>
      <c r="CH76" s="1"/>
    </row>
    <row r="77" spans="1:86" x14ac:dyDescent="0.3">
      <c r="A77" s="8">
        <v>25</v>
      </c>
      <c r="B77" s="8">
        <v>2</v>
      </c>
      <c r="C77" s="8">
        <v>20</v>
      </c>
      <c r="D77" s="8" t="s">
        <v>32</v>
      </c>
      <c r="E77" s="9">
        <f>1.045-0.1</f>
        <v>0.94499999999999995</v>
      </c>
      <c r="CC77" s="1"/>
      <c r="CD77" s="1"/>
      <c r="CE77" s="1"/>
      <c r="CF77" s="1"/>
      <c r="CG77" s="1"/>
      <c r="CH77" s="1"/>
    </row>
    <row r="78" spans="1:86" x14ac:dyDescent="0.3">
      <c r="A78" s="10">
        <v>25</v>
      </c>
      <c r="B78" s="10">
        <v>2</v>
      </c>
      <c r="C78" s="10">
        <v>35</v>
      </c>
      <c r="D78" s="10" t="s">
        <v>4</v>
      </c>
      <c r="E78" s="15">
        <f>1.1-0.01-0.035-0.035-0.115-0.005-0.006</f>
        <v>0.89400000000000024</v>
      </c>
      <c r="CC78" s="1"/>
      <c r="CD78" s="1"/>
      <c r="CE78" s="1"/>
      <c r="CF78" s="1"/>
      <c r="CG78" s="1"/>
      <c r="CH78" s="1"/>
    </row>
    <row r="79" spans="1:86" x14ac:dyDescent="0.3">
      <c r="A79" s="10">
        <v>25</v>
      </c>
      <c r="B79" s="10">
        <v>2.5</v>
      </c>
      <c r="C79" s="10">
        <v>20</v>
      </c>
      <c r="D79" s="10" t="s">
        <v>4</v>
      </c>
      <c r="E79" s="15">
        <f>6.42-0.066-0.006+2.65-0.01-0.016-0.002-0.011-0.004-0.011-0.002-0.006-0.006-0.004-0.001-0.011-0.021-0.004-0.002-0.061-0.014</f>
        <v>8.8120000000000012</v>
      </c>
      <c r="CC79" s="1"/>
      <c r="CD79" s="1"/>
      <c r="CE79" s="1"/>
      <c r="CF79" s="1"/>
      <c r="CG79" s="1"/>
      <c r="CH79" s="1"/>
    </row>
    <row r="80" spans="1:86" x14ac:dyDescent="0.3">
      <c r="A80" s="10">
        <v>25</v>
      </c>
      <c r="B80" s="10">
        <v>2.5</v>
      </c>
      <c r="C80" s="10">
        <v>20</v>
      </c>
      <c r="D80" s="10" t="s">
        <v>4</v>
      </c>
      <c r="E80" s="15">
        <f>0.965-0.018-0.011-0.002-0.003-0.001</f>
        <v>0.92999999999999994</v>
      </c>
      <c r="CC80" s="1"/>
      <c r="CD80" s="1"/>
      <c r="CE80" s="1"/>
      <c r="CF80" s="1"/>
      <c r="CG80" s="1"/>
      <c r="CH80" s="1"/>
    </row>
    <row r="81" spans="1:86" x14ac:dyDescent="0.3">
      <c r="A81" s="10">
        <v>25</v>
      </c>
      <c r="B81" s="10">
        <v>2.5</v>
      </c>
      <c r="C81" s="10" t="s">
        <v>26</v>
      </c>
      <c r="D81" s="10" t="s">
        <v>4</v>
      </c>
      <c r="E81" s="15">
        <f>0.25-0.004-0.011-0.039-0.006-0.055-0.089-0.033-0.022+0.039-0.01-0.016</f>
        <v>3.9999999999999827E-3</v>
      </c>
      <c r="CC81" s="1"/>
      <c r="CD81" s="1"/>
      <c r="CE81" s="1"/>
      <c r="CF81" s="1"/>
      <c r="CG81" s="1"/>
      <c r="CH81" s="1"/>
    </row>
    <row r="82" spans="1:86" x14ac:dyDescent="0.3">
      <c r="A82" s="10">
        <v>25</v>
      </c>
      <c r="B82" s="10">
        <v>2.5</v>
      </c>
      <c r="C82" s="10" t="s">
        <v>26</v>
      </c>
      <c r="D82" s="10" t="s">
        <v>4</v>
      </c>
      <c r="E82" s="15">
        <f>1.015-0.09-0.019-0.004-0.055-0.056-0.017-0.037-0.006-0.011-0.007-0.019-0.3-0.006-0.003-0.001-0.004-0.006-0.018-0.07-0.001-0.008-0.018-0.001</f>
        <v>0.25799999999999967</v>
      </c>
      <c r="CC82" s="1"/>
      <c r="CD82" s="1"/>
      <c r="CE82" s="1"/>
      <c r="CF82" s="1"/>
      <c r="CG82" s="1"/>
      <c r="CH82" s="1"/>
    </row>
    <row r="83" spans="1:86" x14ac:dyDescent="0.3">
      <c r="A83" s="10">
        <v>25</v>
      </c>
      <c r="B83" s="10">
        <v>2.5</v>
      </c>
      <c r="C83" s="10" t="s">
        <v>29</v>
      </c>
      <c r="D83" s="10" t="s">
        <v>3</v>
      </c>
      <c r="E83" s="15">
        <f>0.505-0.012-0.004-0.008+0.005</f>
        <v>0.48599999999999999</v>
      </c>
      <c r="CC83" s="1"/>
      <c r="CD83" s="1"/>
      <c r="CE83" s="1"/>
      <c r="CF83" s="1"/>
      <c r="CG83" s="1"/>
      <c r="CH83" s="1"/>
    </row>
    <row r="84" spans="1:86" x14ac:dyDescent="0.3">
      <c r="A84" s="10">
        <v>25</v>
      </c>
      <c r="B84" s="10">
        <v>2.8</v>
      </c>
      <c r="C84" s="10">
        <v>3</v>
      </c>
      <c r="D84" s="10" t="s">
        <v>23</v>
      </c>
      <c r="E84" s="15">
        <v>5.0000000000000001E-3</v>
      </c>
      <c r="CC84" s="1"/>
      <c r="CD84" s="1"/>
      <c r="CE84" s="1"/>
      <c r="CF84" s="1"/>
      <c r="CG84" s="1"/>
      <c r="CH84" s="1"/>
    </row>
    <row r="85" spans="1:86" ht="15.75" customHeight="1" x14ac:dyDescent="0.3">
      <c r="A85" s="10">
        <v>25</v>
      </c>
      <c r="B85" s="10">
        <v>3</v>
      </c>
      <c r="C85" s="10">
        <v>20</v>
      </c>
      <c r="D85" s="10" t="s">
        <v>4</v>
      </c>
      <c r="E85" s="15">
        <f>0.3+0.025+0.085-0.014-0.005-0.125-0.011-0.008-0.12-0.011-0.035-0.009-0.005-0.019+0.07-0.014-0.032-0.004-0.027-0.012</f>
        <v>2.9000000000000008E-2</v>
      </c>
      <c r="CC85" s="1"/>
      <c r="CD85" s="1"/>
      <c r="CE85" s="1"/>
      <c r="CF85" s="1"/>
      <c r="CG85" s="1"/>
      <c r="CH85" s="1"/>
    </row>
    <row r="86" spans="1:86" ht="15.75" customHeight="1" x14ac:dyDescent="0.3">
      <c r="A86" s="10">
        <v>25</v>
      </c>
      <c r="B86" s="10">
        <v>3</v>
      </c>
      <c r="C86" s="10">
        <v>20</v>
      </c>
      <c r="D86" s="10" t="s">
        <v>4</v>
      </c>
      <c r="E86" s="15">
        <f>9.32-0.012-0.023-0.4-0.007-0.013-0.012-0.003-0.012-0.07-0.023-0.002-0.003-0.07-0.005-0.085-0.006-0.002-0.09-0.013-0.003-0.03-0.056-0.002</f>
        <v>8.3779999999999966</v>
      </c>
      <c r="CC86" s="1"/>
      <c r="CD86" s="1"/>
      <c r="CE86" s="1"/>
      <c r="CF86" s="1"/>
      <c r="CG86" s="1"/>
      <c r="CH86" s="1"/>
    </row>
    <row r="87" spans="1:86" x14ac:dyDescent="0.3">
      <c r="A87" s="10">
        <v>25</v>
      </c>
      <c r="B87" s="10">
        <v>3</v>
      </c>
      <c r="C87" s="10">
        <v>20</v>
      </c>
      <c r="D87" s="10" t="s">
        <v>4</v>
      </c>
      <c r="E87" s="15">
        <f>1.03-0.075-0.007-0.02-0.013</f>
        <v>0.91500000000000004</v>
      </c>
      <c r="CC87" s="1"/>
      <c r="CD87" s="1"/>
      <c r="CE87" s="1"/>
      <c r="CF87" s="1"/>
      <c r="CG87" s="1"/>
      <c r="CH87" s="1"/>
    </row>
    <row r="88" spans="1:86" ht="15.75" customHeight="1" x14ac:dyDescent="0.3">
      <c r="A88" s="10">
        <v>25</v>
      </c>
      <c r="B88" s="10">
        <v>3</v>
      </c>
      <c r="C88" s="10">
        <v>20</v>
      </c>
      <c r="D88" s="10" t="s">
        <v>32</v>
      </c>
      <c r="E88" s="15">
        <f>1.065-0.01-0.12-0.008</f>
        <v>0.92699999999999994</v>
      </c>
      <c r="CC88" s="1"/>
      <c r="CD88" s="1"/>
      <c r="CE88" s="1"/>
      <c r="CF88" s="1"/>
      <c r="CG88" s="1"/>
      <c r="CH88" s="1"/>
    </row>
    <row r="89" spans="1:86" x14ac:dyDescent="0.3">
      <c r="A89" s="10">
        <v>25</v>
      </c>
      <c r="B89" s="10">
        <v>3</v>
      </c>
      <c r="C89" s="10" t="s">
        <v>26</v>
      </c>
      <c r="D89" s="10" t="s">
        <v>4</v>
      </c>
      <c r="E89" s="15">
        <f>1.005-0.02-0.005-0.001-0.02-0.007-0.019-0.003-0.02-0.003-0.003-0.015-0.017-0.003-0.005-0.006-0.002-0.02-0.039-0.003-0.02-0.01-0.59-0.016-0.005-0.003-0.02-0.02-0.02-0.013-0.019-0.02-0.002-0.003-0.047+0.12-0.003-0.002-0.031-0.039-0.009-0.008-0.003-0.005-0.003+0.01</f>
        <v>1.2999999999999673E-2</v>
      </c>
      <c r="CC89" s="1"/>
      <c r="CD89" s="1"/>
      <c r="CE89" s="1"/>
      <c r="CF89" s="1"/>
      <c r="CG89" s="1"/>
      <c r="CH89" s="1"/>
    </row>
    <row r="90" spans="1:86" x14ac:dyDescent="0.3">
      <c r="A90" s="10">
        <v>25</v>
      </c>
      <c r="B90" s="10">
        <v>3</v>
      </c>
      <c r="C90" s="10" t="s">
        <v>21</v>
      </c>
      <c r="D90" s="10" t="s">
        <v>4</v>
      </c>
      <c r="E90" s="15">
        <f>3.51-0.013-0.014</f>
        <v>3.4830000000000001</v>
      </c>
      <c r="CC90" s="1"/>
      <c r="CD90" s="1"/>
      <c r="CE90" s="1"/>
      <c r="CF90" s="1"/>
      <c r="CG90" s="1"/>
      <c r="CH90" s="1"/>
    </row>
    <row r="91" spans="1:86" x14ac:dyDescent="0.3">
      <c r="A91" s="10">
        <v>25</v>
      </c>
      <c r="B91" s="10">
        <v>3.5</v>
      </c>
      <c r="C91" s="10">
        <v>20</v>
      </c>
      <c r="D91" s="10" t="s">
        <v>4</v>
      </c>
      <c r="E91" s="15">
        <f>4.995-0.003-0.015-0.003-0.001-0.001-0.008-0.006-0.051-0.025-0.012-0.004-0.026-0.003-0.003-0.051-0.008-0.026-0.003-0.001-0.074-0.003-0.004-0.004</f>
        <v>4.66</v>
      </c>
      <c r="CC91" s="1"/>
      <c r="CD91" s="1"/>
      <c r="CE91" s="1"/>
      <c r="CF91" s="1"/>
      <c r="CG91" s="1"/>
      <c r="CH91" s="1"/>
    </row>
    <row r="92" spans="1:86" ht="15.75" customHeight="1" x14ac:dyDescent="0.3">
      <c r="A92" s="10">
        <v>25</v>
      </c>
      <c r="B92" s="10">
        <v>3.5</v>
      </c>
      <c r="C92" s="10">
        <v>20</v>
      </c>
      <c r="D92" s="10" t="s">
        <v>32</v>
      </c>
      <c r="E92" s="15">
        <f>5.005-0.04-0.1</f>
        <v>4.8650000000000002</v>
      </c>
      <c r="CC92" s="1"/>
      <c r="CD92" s="1"/>
      <c r="CE92" s="1"/>
      <c r="CF92" s="1"/>
      <c r="CG92" s="1"/>
      <c r="CH92" s="1"/>
    </row>
    <row r="93" spans="1:86" ht="15.75" customHeight="1" x14ac:dyDescent="0.3">
      <c r="A93" s="10">
        <v>25</v>
      </c>
      <c r="B93" s="10">
        <v>4</v>
      </c>
      <c r="C93" s="10">
        <v>20</v>
      </c>
      <c r="D93" s="10" t="s">
        <v>4</v>
      </c>
      <c r="E93" s="15">
        <f>6.003-0.066-0.014-1.66-1.53-0.02-2.7-0.001</f>
        <v>1.1999999999999456E-2</v>
      </c>
      <c r="CC93" s="1"/>
      <c r="CD93" s="1"/>
      <c r="CE93" s="1"/>
      <c r="CF93" s="1"/>
      <c r="CG93" s="1"/>
      <c r="CH93" s="1"/>
    </row>
    <row r="94" spans="1:86" x14ac:dyDescent="0.3">
      <c r="A94" s="10">
        <v>25</v>
      </c>
      <c r="B94" s="10">
        <v>4</v>
      </c>
      <c r="C94" s="10">
        <v>20</v>
      </c>
      <c r="D94" s="10" t="s">
        <v>4</v>
      </c>
      <c r="E94" s="15">
        <f>1.66+1.53-0.055+2.7+0.001-0.001-0.037-0.136-0.046-0.004-0.011-0.003-0.019-0.27-0.001-0.005-0.001-0.046-0.023-0.005-0.091-0.002-0.001-0.01-0.091-0.003-0.26-0.007-0.127-0.022</f>
        <v>4.613999999999999</v>
      </c>
      <c r="CC94" s="1"/>
      <c r="CD94" s="1"/>
      <c r="CE94" s="1"/>
      <c r="CF94" s="1"/>
      <c r="CG94" s="1"/>
      <c r="CH94" s="1"/>
    </row>
    <row r="95" spans="1:86" x14ac:dyDescent="0.3">
      <c r="A95" s="10">
        <v>25</v>
      </c>
      <c r="B95" s="10">
        <v>4</v>
      </c>
      <c r="C95" s="10" t="s">
        <v>26</v>
      </c>
      <c r="D95" s="10" t="s">
        <v>4</v>
      </c>
      <c r="E95" s="15">
        <f>1.01-0.005-0.003-0.097-0.021-0.028-0.021-0.003-0.041-0.082-0.003-0.002-0.004-0.015-0.014-0.04-0.001-0.01-0.005-0.002-0.007-0.007-0.003-0.005</f>
        <v>0.59100000000000008</v>
      </c>
      <c r="CC95" s="1"/>
      <c r="CD95" s="1"/>
      <c r="CE95" s="1"/>
      <c r="CF95" s="1"/>
      <c r="CG95" s="1"/>
      <c r="CH95" s="1"/>
    </row>
    <row r="96" spans="1:86" x14ac:dyDescent="0.3">
      <c r="A96" s="10">
        <v>25</v>
      </c>
      <c r="B96" s="10">
        <v>5</v>
      </c>
      <c r="C96" s="10">
        <v>20</v>
      </c>
      <c r="D96" s="10" t="s">
        <v>4</v>
      </c>
      <c r="E96" s="15">
        <f>0.59+0.34-0.029-0.047-0.044-0.012-0.009-0.037-0.006-0.031-0.03-0.029-0.001-0.03-0.058-0.005-0.004-0.029-0.058-0.072-0.015-0.037-0.034-0.016-0.066-0.02-0.005-0.009-0.003-0.016-0.039-0.017-0.012-0.004-0.128+0.2-0.068-0.006-0.006-0.009-0.005-0.002-0.002-0.005-0.011-0.049</f>
        <v>1.4999999999999583E-2</v>
      </c>
      <c r="CC96" s="1"/>
      <c r="CD96" s="1"/>
      <c r="CE96" s="1"/>
      <c r="CF96" s="1"/>
      <c r="CG96" s="1"/>
      <c r="CH96" s="1"/>
    </row>
    <row r="97" spans="1:86" x14ac:dyDescent="0.3">
      <c r="A97" s="10">
        <v>25</v>
      </c>
      <c r="B97" s="10">
        <v>5</v>
      </c>
      <c r="C97" s="10" t="s">
        <v>26</v>
      </c>
      <c r="D97" s="10" t="s">
        <v>4</v>
      </c>
      <c r="E97" s="15">
        <f>0.815+0.16-0.004-0.055+0.033-0.005-0.036-0.012-0.008-0.006-0.006-0.07-0.05-0.033-0.55-0.012-0.004-0.003-0.011-0.005-0.022-0.003-0.02-0.005-0.002-0.005-0.011-0.003-0.002-0.001-0.002-0.048+0.1-0.022-0.009-0.001</f>
        <v>8.199999999999967E-2</v>
      </c>
      <c r="CC97" s="1"/>
      <c r="CD97" s="1"/>
      <c r="CE97" s="1"/>
      <c r="CF97" s="1"/>
      <c r="CG97" s="1"/>
      <c r="CH97" s="1"/>
    </row>
    <row r="98" spans="1:86" x14ac:dyDescent="0.3">
      <c r="A98" s="8">
        <v>25</v>
      </c>
      <c r="B98" s="8">
        <v>5</v>
      </c>
      <c r="C98" s="8" t="s">
        <v>29</v>
      </c>
      <c r="D98" s="8" t="s">
        <v>3</v>
      </c>
      <c r="E98" s="9">
        <f>1.03-0.021-0.022-0.022-0.07-0.2-0.011-0.285-0.011-0.008-0.049-0.038-0.009-0.02-0.021-0.007-0.04-0.01-0.007-0.019+0.09-0.041-0.009-0.098-0.011-0.009-0.011-0.005-0.011-0.003-0.025-0.003-0.008-0.045+0.036</f>
        <v>7.0000000000000444E-3</v>
      </c>
      <c r="CC98" s="1"/>
      <c r="CD98" s="1"/>
      <c r="CE98" s="1"/>
      <c r="CF98" s="1"/>
      <c r="CG98" s="1"/>
      <c r="CH98" s="1"/>
    </row>
    <row r="99" spans="1:86" x14ac:dyDescent="0.3">
      <c r="A99" s="10">
        <v>25</v>
      </c>
      <c r="B99" s="10">
        <v>5</v>
      </c>
      <c r="C99" s="10" t="s">
        <v>29</v>
      </c>
      <c r="D99" s="10" t="s">
        <v>3</v>
      </c>
      <c r="E99" s="15">
        <f>0.045+0.64-0.25-0.004-0.395+0.4-0.013-0.03-0.005</f>
        <v>0.38800000000000001</v>
      </c>
      <c r="CC99" s="1"/>
      <c r="CD99" s="1"/>
      <c r="CE99" s="1"/>
      <c r="CF99" s="1"/>
      <c r="CG99" s="1"/>
      <c r="CH99" s="1"/>
    </row>
    <row r="100" spans="1:86" x14ac:dyDescent="0.3">
      <c r="A100" s="10">
        <v>25</v>
      </c>
      <c r="B100" s="10">
        <v>5</v>
      </c>
      <c r="C100" s="10" t="s">
        <v>29</v>
      </c>
      <c r="D100" s="10" t="s">
        <v>3</v>
      </c>
      <c r="E100" s="15">
        <f>0.8-0.016-0.15-0.64+0.016</f>
        <v>9.999999999999995E-3</v>
      </c>
      <c r="CC100" s="1"/>
      <c r="CD100" s="1"/>
      <c r="CE100" s="1"/>
      <c r="CF100" s="1"/>
      <c r="CG100" s="1"/>
      <c r="CH100" s="1"/>
    </row>
    <row r="101" spans="1:86" x14ac:dyDescent="0.3">
      <c r="A101" s="10">
        <v>25</v>
      </c>
      <c r="B101" s="10">
        <v>6</v>
      </c>
      <c r="C101" s="10" t="s">
        <v>26</v>
      </c>
      <c r="D101" s="10" t="s">
        <v>4</v>
      </c>
      <c r="E101" s="15">
        <f>1.05-0.071-0.93-0.008-0.039</f>
        <v>2.0000000000000434E-3</v>
      </c>
      <c r="CC101" s="1"/>
      <c r="CD101" s="1"/>
      <c r="CE101" s="1"/>
      <c r="CF101" s="1"/>
      <c r="CG101" s="1"/>
      <c r="CH101" s="1"/>
    </row>
    <row r="102" spans="1:86" x14ac:dyDescent="0.3">
      <c r="A102" s="10">
        <v>25</v>
      </c>
      <c r="B102" s="10">
        <v>6</v>
      </c>
      <c r="C102" s="10" t="s">
        <v>26</v>
      </c>
      <c r="D102" s="10" t="s">
        <v>4</v>
      </c>
      <c r="E102" s="15">
        <f>0.93-0.045-0.045+0.024-0.012-0.004-0.002-0.002-0.007-0.002-0.025-0.01-0.002-0.025-0.001-0.01-0.04-0.004-0.026-0.008-0.129-0.046-0.049-0.005-0.006-0.004-0.005-0.015-0.025-0.008-0.002-0.002-0.021-0.042-0.045-0.003-0.023-0.004-0.026-0.045-0.006-0.195+0.08-0.008-0.003</f>
        <v>4.6999999999999702E-2</v>
      </c>
      <c r="CC102" s="1"/>
      <c r="CD102" s="1"/>
      <c r="CE102" s="1"/>
      <c r="CF102" s="1"/>
      <c r="CG102" s="1"/>
      <c r="CH102" s="1"/>
    </row>
    <row r="103" spans="1:86" x14ac:dyDescent="0.3">
      <c r="A103" s="10">
        <v>25</v>
      </c>
      <c r="B103" s="10">
        <v>6</v>
      </c>
      <c r="C103" s="10" t="s">
        <v>29</v>
      </c>
      <c r="D103" s="10" t="s">
        <v>3</v>
      </c>
      <c r="E103" s="15">
        <f>1.08-0.021-0.022-0.022-0.02</f>
        <v>0.99500000000000011</v>
      </c>
      <c r="CC103" s="1"/>
      <c r="CD103" s="1"/>
      <c r="CE103" s="1"/>
      <c r="CF103" s="1"/>
      <c r="CG103" s="1"/>
      <c r="CH103" s="1"/>
    </row>
    <row r="104" spans="1:86" x14ac:dyDescent="0.3">
      <c r="A104" s="10">
        <v>25</v>
      </c>
      <c r="B104" s="10">
        <v>6.5</v>
      </c>
      <c r="C104" s="10">
        <v>20</v>
      </c>
      <c r="D104" s="10" t="s">
        <v>4</v>
      </c>
      <c r="E104" s="15">
        <f>1.08-0.004-0.011-0.022-0.023-0.029-0.008-0.029-0.006-0.108-0.004-0.006-0.045-0.027-0.027</f>
        <v>0.73100000000000009</v>
      </c>
      <c r="CC104" s="1"/>
      <c r="CD104" s="1"/>
      <c r="CE104" s="1"/>
      <c r="CF104" s="1"/>
      <c r="CG104" s="1"/>
      <c r="CH104" s="1"/>
    </row>
    <row r="105" spans="1:86" x14ac:dyDescent="0.3">
      <c r="A105" s="10">
        <v>25</v>
      </c>
      <c r="B105" s="10">
        <v>6.5</v>
      </c>
      <c r="C105" s="10" t="s">
        <v>26</v>
      </c>
      <c r="D105" s="10" t="s">
        <v>4</v>
      </c>
      <c r="E105" s="15">
        <f>1.05-0.008-0.022</f>
        <v>1.02</v>
      </c>
      <c r="CC105" s="1"/>
      <c r="CD105" s="1"/>
      <c r="CE105" s="1"/>
      <c r="CF105" s="1"/>
      <c r="CG105" s="1"/>
      <c r="CH105" s="1"/>
    </row>
    <row r="106" spans="1:86" x14ac:dyDescent="0.3">
      <c r="A106" s="10">
        <v>26</v>
      </c>
      <c r="B106" s="10">
        <v>4</v>
      </c>
      <c r="C106" s="10">
        <v>20</v>
      </c>
      <c r="D106" s="10" t="s">
        <v>4</v>
      </c>
      <c r="E106" s="15">
        <f>0.41+0.305+0.29-0.017-0.037+0.012-0.003-0.002-0.07-0.008-0.098-0.014-0.008-0.047-0.007-0.027-0.049-0.024-0.018-0.08-0.008</f>
        <v>0.49999999999999978</v>
      </c>
      <c r="CC106" s="1"/>
      <c r="CD106" s="1"/>
      <c r="CE106" s="1"/>
      <c r="CF106" s="1"/>
      <c r="CG106" s="1"/>
      <c r="CH106" s="1"/>
    </row>
    <row r="107" spans="1:86" x14ac:dyDescent="0.3">
      <c r="A107" s="10">
        <v>26</v>
      </c>
      <c r="B107" s="10">
        <v>4</v>
      </c>
      <c r="C107" s="10" t="s">
        <v>26</v>
      </c>
      <c r="D107" s="10" t="s">
        <v>4</v>
      </c>
      <c r="E107" s="15">
        <f>1.03-0.005-0.006-0.003-0.004-0.025-0.025</f>
        <v>0.96200000000000019</v>
      </c>
      <c r="CC107" s="1"/>
      <c r="CD107" s="1"/>
      <c r="CE107" s="1"/>
      <c r="CF107" s="1"/>
      <c r="CG107" s="1"/>
      <c r="CH107" s="1"/>
    </row>
    <row r="108" spans="1:86" x14ac:dyDescent="0.3">
      <c r="A108" s="10">
        <v>26</v>
      </c>
      <c r="B108" s="10">
        <v>6</v>
      </c>
      <c r="C108" s="10">
        <v>20</v>
      </c>
      <c r="D108" s="10" t="s">
        <v>4</v>
      </c>
      <c r="E108" s="15">
        <f>1.59-0.004-1.57</f>
        <v>1.6000000000000014E-2</v>
      </c>
      <c r="CC108" s="1"/>
      <c r="CD108" s="1"/>
      <c r="CE108" s="1"/>
      <c r="CF108" s="1"/>
      <c r="CG108" s="1"/>
      <c r="CH108" s="1"/>
    </row>
    <row r="109" spans="1:86" x14ac:dyDescent="0.3">
      <c r="A109" s="10">
        <v>26</v>
      </c>
      <c r="B109" s="10">
        <v>6</v>
      </c>
      <c r="C109" s="10">
        <v>20</v>
      </c>
      <c r="D109" s="10" t="s">
        <v>4</v>
      </c>
      <c r="E109" s="15">
        <f>1.33+1.57-0.003-0.415-0.02-0.021-0.021</f>
        <v>2.4200000000000004</v>
      </c>
      <c r="CC109" s="1"/>
      <c r="CD109" s="1"/>
      <c r="CE109" s="1"/>
      <c r="CF109" s="1"/>
      <c r="CG109" s="1"/>
      <c r="CH109" s="1"/>
    </row>
    <row r="110" spans="1:86" x14ac:dyDescent="0.3">
      <c r="A110" s="10">
        <v>26</v>
      </c>
      <c r="B110" s="10">
        <v>6</v>
      </c>
      <c r="C110" s="10" t="s">
        <v>26</v>
      </c>
      <c r="D110" s="10" t="s">
        <v>4</v>
      </c>
      <c r="E110" s="15">
        <f>1.08-0.028</f>
        <v>1.052</v>
      </c>
      <c r="CC110" s="1"/>
      <c r="CD110" s="1"/>
      <c r="CE110" s="1"/>
      <c r="CF110" s="1"/>
      <c r="CG110" s="1"/>
      <c r="CH110" s="1"/>
    </row>
    <row r="111" spans="1:86" x14ac:dyDescent="0.3">
      <c r="A111" s="10">
        <v>27</v>
      </c>
      <c r="B111" s="10">
        <v>3</v>
      </c>
      <c r="C111" s="10" t="s">
        <v>26</v>
      </c>
      <c r="D111" s="10" t="s">
        <v>4</v>
      </c>
      <c r="E111" s="15">
        <f>1.08-0.069-0.018-0.051-0.09+0.048-0.023-0.48-0.007-0.08-0.2-0.004-0.007-0.035-0.003-0.035+0.08-0.002-0.029-0.031-0.015-0.001-0.003-0.005-0.007-0.007+0.012-0.012-0.007+0.002</f>
        <v>1.0000000000000816E-3</v>
      </c>
      <c r="CC111" s="1"/>
      <c r="CD111" s="1"/>
      <c r="CE111" s="1"/>
      <c r="CF111" s="1"/>
      <c r="CG111" s="1"/>
      <c r="CH111" s="1"/>
    </row>
    <row r="112" spans="1:86" x14ac:dyDescent="0.3">
      <c r="A112" s="10">
        <v>27</v>
      </c>
      <c r="B112" s="10">
        <v>3.2</v>
      </c>
      <c r="C112" s="10">
        <v>20</v>
      </c>
      <c r="D112" s="10" t="s">
        <v>4</v>
      </c>
      <c r="E112" s="15">
        <f>18.47-0.001-0.008-0.014-0.09-0.022-0.022-0.17-0.003-0.004-0.022-0.022-0.008-0.014-0.003-0.006-0.001-0.043-0.002-0.043-0.022</f>
        <v>17.950000000000006</v>
      </c>
      <c r="CC112" s="1"/>
      <c r="CD112" s="1"/>
      <c r="CE112" s="1"/>
      <c r="CF112" s="1"/>
      <c r="CG112" s="1"/>
      <c r="CH112" s="1"/>
    </row>
    <row r="113" spans="1:86" x14ac:dyDescent="0.3">
      <c r="A113" s="8">
        <v>27</v>
      </c>
      <c r="B113" s="8">
        <v>4</v>
      </c>
      <c r="C113" s="13" t="s">
        <v>30</v>
      </c>
      <c r="D113" s="8" t="s">
        <v>4</v>
      </c>
      <c r="E113" s="9">
        <f>0.12-0.043+0.017-0.043+0.008-0.022+0.023-0.044+0.05-0.008-0.037</f>
        <v>2.1000000000000005E-2</v>
      </c>
      <c r="CC113" s="1"/>
      <c r="CD113" s="1"/>
      <c r="CE113" s="1"/>
      <c r="CF113" s="1"/>
      <c r="CG113" s="1"/>
      <c r="CH113" s="1"/>
    </row>
    <row r="114" spans="1:86" x14ac:dyDescent="0.3">
      <c r="A114" s="10">
        <v>27</v>
      </c>
      <c r="B114" s="10">
        <v>4</v>
      </c>
      <c r="C114" s="10" t="s">
        <v>30</v>
      </c>
      <c r="D114" s="10" t="s">
        <v>4</v>
      </c>
      <c r="E114" s="15">
        <f>1.08-0.084+0.115-0.026-0.017-0.01-0.36-0.083-0.009-0.018-0.011-0.013-0.003-0.03-0.025-0.009-0.067</f>
        <v>0.43000000000000022</v>
      </c>
      <c r="CC114" s="1"/>
      <c r="CD114" s="1"/>
      <c r="CE114" s="1"/>
      <c r="CF114" s="1"/>
      <c r="CG114" s="1"/>
      <c r="CH114" s="1"/>
    </row>
    <row r="115" spans="1:86" x14ac:dyDescent="0.3">
      <c r="A115" s="10">
        <v>27</v>
      </c>
      <c r="B115" s="10">
        <v>5</v>
      </c>
      <c r="C115" s="10">
        <v>20</v>
      </c>
      <c r="D115" s="10" t="s">
        <v>4</v>
      </c>
      <c r="E115" s="15">
        <f>0.94-0.018-0.018-0.005-0.019-0.019-0.1-0.018-0.019-0.035-0.036-0.019-0.011-0.016-0.052</f>
        <v>0.55499999999999972</v>
      </c>
      <c r="CC115" s="1"/>
      <c r="CD115" s="1"/>
      <c r="CE115" s="1"/>
      <c r="CF115" s="1"/>
      <c r="CG115" s="1"/>
      <c r="CH115" s="1"/>
    </row>
    <row r="116" spans="1:86" x14ac:dyDescent="0.3">
      <c r="A116" s="10">
        <v>27</v>
      </c>
      <c r="B116" s="10">
        <v>5.5</v>
      </c>
      <c r="C116" s="10" t="s">
        <v>30</v>
      </c>
      <c r="D116" s="10" t="s">
        <v>4</v>
      </c>
      <c r="E116" s="15">
        <f>20.1-0.009-0.225-0.007-0.385-0.007-1.01-0.22-0.013-0.007-0.149-0.085-0.002-0.022-0.004</f>
        <v>17.954999999999991</v>
      </c>
      <c r="CC116" s="1"/>
      <c r="CD116" s="1"/>
      <c r="CE116" s="1"/>
      <c r="CF116" s="1"/>
      <c r="CG116" s="1"/>
      <c r="CH116" s="1"/>
    </row>
    <row r="117" spans="1:86" x14ac:dyDescent="0.3">
      <c r="A117" s="8">
        <v>27</v>
      </c>
      <c r="B117" s="8">
        <v>6.5</v>
      </c>
      <c r="C117" s="8">
        <v>20</v>
      </c>
      <c r="D117" s="8" t="s">
        <v>4</v>
      </c>
      <c r="E117" s="9">
        <f>1.04-0.069-0.026-0.11-0.102</f>
        <v>0.7330000000000001</v>
      </c>
      <c r="CC117" s="1"/>
      <c r="CD117" s="1"/>
      <c r="CE117" s="1"/>
      <c r="CF117" s="1"/>
      <c r="CG117" s="1"/>
      <c r="CH117" s="1"/>
    </row>
    <row r="118" spans="1:86" x14ac:dyDescent="0.3">
      <c r="A118" s="10">
        <v>27</v>
      </c>
      <c r="B118" s="10">
        <v>6.5</v>
      </c>
      <c r="C118" s="10" t="s">
        <v>26</v>
      </c>
      <c r="D118" s="10" t="s">
        <v>4</v>
      </c>
      <c r="E118" s="15">
        <f>1.87-0.005-0.048-0.093</f>
        <v>1.7240000000000002</v>
      </c>
      <c r="CC118" s="1"/>
      <c r="CD118" s="1"/>
      <c r="CE118" s="1"/>
      <c r="CF118" s="1"/>
      <c r="CG118" s="1"/>
      <c r="CH118" s="1"/>
    </row>
    <row r="119" spans="1:86" x14ac:dyDescent="0.3">
      <c r="A119" s="10">
        <v>27</v>
      </c>
      <c r="B119" s="10">
        <v>7</v>
      </c>
      <c r="C119" s="10">
        <v>45</v>
      </c>
      <c r="D119" s="10" t="s">
        <v>4</v>
      </c>
      <c r="E119" s="15">
        <f>2.14-0.031-0.033-0.19</f>
        <v>1.8860000000000001</v>
      </c>
      <c r="CC119" s="1"/>
      <c r="CD119" s="1"/>
      <c r="CE119" s="1"/>
      <c r="CF119" s="1"/>
      <c r="CG119" s="1"/>
      <c r="CH119" s="1"/>
    </row>
    <row r="120" spans="1:86" x14ac:dyDescent="0.3">
      <c r="A120" s="10">
        <v>28</v>
      </c>
      <c r="B120" s="10">
        <v>3</v>
      </c>
      <c r="C120" s="10">
        <v>20</v>
      </c>
      <c r="D120" s="10" t="s">
        <v>4</v>
      </c>
      <c r="E120" s="15">
        <f>1.005-0.021-0.043-0.007-0.02-0.92+0.05-0.003-0.003</f>
        <v>3.799999999999977E-2</v>
      </c>
      <c r="CC120" s="1"/>
      <c r="CD120" s="1"/>
      <c r="CE120" s="1"/>
      <c r="CF120" s="1"/>
      <c r="CG120" s="1"/>
      <c r="CH120" s="1"/>
    </row>
    <row r="121" spans="1:86" x14ac:dyDescent="0.3">
      <c r="A121" s="10">
        <v>28</v>
      </c>
      <c r="B121" s="10">
        <v>3</v>
      </c>
      <c r="C121" s="10">
        <v>20</v>
      </c>
      <c r="D121" s="10" t="s">
        <v>4</v>
      </c>
      <c r="E121" s="15">
        <f>0.92+0.003+7.926-0.004-0.002-0.013-0.013-0.014-0.001-0.008-0.261-0.026-0.445-0.064-0.085-0.038-0.042-0.005-0.003-0.014-0.021-0.001</f>
        <v>7.7890000000000024</v>
      </c>
      <c r="CC121" s="1"/>
      <c r="CD121" s="1"/>
      <c r="CE121" s="1"/>
      <c r="CF121" s="1"/>
      <c r="CG121" s="1"/>
      <c r="CH121" s="1"/>
    </row>
    <row r="122" spans="1:86" x14ac:dyDescent="0.3">
      <c r="A122" s="10">
        <v>28</v>
      </c>
      <c r="B122" s="10">
        <v>3</v>
      </c>
      <c r="C122" s="10" t="s">
        <v>26</v>
      </c>
      <c r="D122" s="10" t="s">
        <v>4</v>
      </c>
      <c r="E122" s="15">
        <f>1.075-0.02-0.003-0.054-0.002-0.002-0.012-0.046-0.002-0.043-0.022-0.024-0.056-0.014-0.005-0.13-0.012-0.005</f>
        <v>0.62299999999999978</v>
      </c>
      <c r="CC122" s="1"/>
      <c r="CD122" s="1"/>
      <c r="CE122" s="1"/>
      <c r="CF122" s="1"/>
      <c r="CG122" s="1"/>
      <c r="CH122" s="1"/>
    </row>
    <row r="123" spans="1:86" x14ac:dyDescent="0.3">
      <c r="A123" s="10">
        <v>28</v>
      </c>
      <c r="B123" s="10">
        <v>3</v>
      </c>
      <c r="C123" s="10" t="s">
        <v>31</v>
      </c>
      <c r="D123" s="10" t="s">
        <v>32</v>
      </c>
      <c r="E123" s="15">
        <f>2.12-0.028+0.008-0.007-0.004-0.28-0.055-0.003</f>
        <v>1.7510000000000001</v>
      </c>
      <c r="CC123" s="1"/>
      <c r="CD123" s="1"/>
      <c r="CE123" s="1"/>
      <c r="CF123" s="1"/>
      <c r="CG123" s="1"/>
      <c r="CH123" s="1"/>
    </row>
    <row r="124" spans="1:86" x14ac:dyDescent="0.3">
      <c r="A124" s="10">
        <v>28</v>
      </c>
      <c r="B124" s="10">
        <v>4</v>
      </c>
      <c r="C124" s="10">
        <v>20</v>
      </c>
      <c r="D124" s="10" t="s">
        <v>4</v>
      </c>
      <c r="E124" s="15">
        <f>1.055-0.001-0.026-0.009-0.009-0.001-0.201-0.075-0.003-0.005-0.075-0.01-0.004-0.001</f>
        <v>0.63500000000000034</v>
      </c>
      <c r="CC124" s="1"/>
      <c r="CD124" s="1"/>
      <c r="CE124" s="1"/>
      <c r="CF124" s="1"/>
      <c r="CG124" s="1"/>
      <c r="CH124" s="1"/>
    </row>
    <row r="125" spans="1:86" x14ac:dyDescent="0.3">
      <c r="A125" s="10">
        <v>28</v>
      </c>
      <c r="B125" s="10">
        <v>4</v>
      </c>
      <c r="C125" s="10" t="s">
        <v>26</v>
      </c>
      <c r="D125" s="10" t="s">
        <v>4</v>
      </c>
      <c r="E125" s="15">
        <f>0.83-0.009-0.018-0.028-0.209-0.305-0.01-0.011-0.038-0.028-0.026-0.005-0.002-0.008-0.008-0.019-0.018-0.001-0.003-0.024</f>
        <v>5.9999999999999908E-2</v>
      </c>
      <c r="CC125" s="1"/>
      <c r="CD125" s="1"/>
      <c r="CE125" s="1"/>
      <c r="CF125" s="1"/>
      <c r="CG125" s="1"/>
      <c r="CH125" s="1"/>
    </row>
    <row r="126" spans="1:86" x14ac:dyDescent="0.3">
      <c r="A126" s="10">
        <v>28</v>
      </c>
      <c r="B126" s="10">
        <v>5</v>
      </c>
      <c r="C126" s="10">
        <v>20</v>
      </c>
      <c r="D126" s="10" t="s">
        <v>4</v>
      </c>
      <c r="E126" s="15">
        <f>0.775+0.003+0.199-0.008-0.033-0.005-0.007-0.075-0.017-0.006-0.014-0.008-0.105-0.001-0.04-0.097-0.006</f>
        <v>0.55500000000000005</v>
      </c>
      <c r="CC126" s="1"/>
      <c r="CD126" s="1"/>
      <c r="CE126" s="1"/>
      <c r="CF126" s="1"/>
      <c r="CG126" s="1"/>
      <c r="CH126" s="1"/>
    </row>
    <row r="127" spans="1:86" x14ac:dyDescent="0.3">
      <c r="A127" s="10">
        <v>28</v>
      </c>
      <c r="B127" s="10">
        <v>5</v>
      </c>
      <c r="C127" s="10" t="s">
        <v>26</v>
      </c>
      <c r="D127" s="10" t="s">
        <v>4</v>
      </c>
      <c r="E127" s="15">
        <f>0.37-0.011-0.18-0.031-0.006-0.031+0.57-0.197-0.028-0.011-0.031-0.003-0.185-0.021-0.004-0.011-0.026-0.031</f>
        <v>0.13299999999999992</v>
      </c>
      <c r="CC127" s="1"/>
      <c r="CD127" s="1"/>
      <c r="CE127" s="1"/>
      <c r="CF127" s="1"/>
      <c r="CG127" s="1"/>
      <c r="CH127" s="1"/>
    </row>
    <row r="128" spans="1:86" x14ac:dyDescent="0.3">
      <c r="A128" s="10">
        <v>28</v>
      </c>
      <c r="B128" s="10">
        <v>6</v>
      </c>
      <c r="C128" s="10" t="s">
        <v>26</v>
      </c>
      <c r="D128" s="10" t="s">
        <v>4</v>
      </c>
      <c r="E128" s="15">
        <f>1.05+0.3-0.064-0.004-0.025-0.017-0.026-0.041-0.12-0.05+0.077-0.042-0.155-0.026-0.014-0.012-0.27-0.02-0.007-0.049-0.024-0.021-0.014-0.043-0.044-0.01-0.004-0.091-0.019-0.008</f>
        <v>0.20700000000000013</v>
      </c>
      <c r="CC128" s="1"/>
      <c r="CD128" s="1"/>
      <c r="CE128" s="1"/>
      <c r="CF128" s="1"/>
      <c r="CG128" s="1"/>
      <c r="CH128" s="1"/>
    </row>
    <row r="129" spans="1:86" x14ac:dyDescent="0.3">
      <c r="A129" s="10">
        <v>28</v>
      </c>
      <c r="B129" s="10">
        <v>6.5</v>
      </c>
      <c r="C129" s="10">
        <v>20</v>
      </c>
      <c r="D129" s="10" t="s">
        <v>4</v>
      </c>
      <c r="E129" s="15">
        <f>1.07-0.045-0.05-0.007</f>
        <v>0.96800000000000008</v>
      </c>
      <c r="CC129" s="1"/>
      <c r="CD129" s="1"/>
      <c r="CE129" s="1"/>
      <c r="CF129" s="1"/>
      <c r="CG129" s="1"/>
      <c r="CH129" s="1"/>
    </row>
    <row r="130" spans="1:86" x14ac:dyDescent="0.3">
      <c r="A130" s="8">
        <v>30</v>
      </c>
      <c r="B130" s="8">
        <v>1.5</v>
      </c>
      <c r="C130" s="8">
        <v>20</v>
      </c>
      <c r="D130" s="8" t="s">
        <v>4</v>
      </c>
      <c r="E130" s="9">
        <v>1.5</v>
      </c>
      <c r="CC130" s="1"/>
      <c r="CD130" s="1"/>
      <c r="CE130" s="1"/>
      <c r="CF130" s="1"/>
      <c r="CG130" s="1"/>
      <c r="CH130" s="1"/>
    </row>
    <row r="131" spans="1:86" x14ac:dyDescent="0.3">
      <c r="A131" s="10">
        <v>30</v>
      </c>
      <c r="B131" s="10">
        <v>2.5</v>
      </c>
      <c r="C131" s="10">
        <v>20</v>
      </c>
      <c r="D131" s="10" t="s">
        <v>4</v>
      </c>
      <c r="E131" s="15">
        <f>1.055-0.036-0.005-0.054-0.007</f>
        <v>0.95299999999999996</v>
      </c>
      <c r="CC131" s="1"/>
      <c r="CD131" s="1"/>
      <c r="CE131" s="1"/>
      <c r="CF131" s="1"/>
      <c r="CG131" s="1"/>
      <c r="CH131" s="1"/>
    </row>
    <row r="132" spans="1:86" x14ac:dyDescent="0.3">
      <c r="A132" s="10">
        <v>30</v>
      </c>
      <c r="B132" s="10">
        <v>2.5</v>
      </c>
      <c r="C132" s="10" t="s">
        <v>26</v>
      </c>
      <c r="D132" s="10" t="s">
        <v>4</v>
      </c>
      <c r="E132" s="15">
        <f>1.08-0.09-0.075-0.015-0.14-0.028-0.161-0.125-0.002-0.013-0.029</f>
        <v>0.40200000000000002</v>
      </c>
      <c r="CC132" s="1"/>
      <c r="CD132" s="1"/>
      <c r="CE132" s="1"/>
      <c r="CF132" s="1"/>
      <c r="CG132" s="1"/>
      <c r="CH132" s="1"/>
    </row>
    <row r="133" spans="1:86" x14ac:dyDescent="0.3">
      <c r="A133" s="10">
        <v>30</v>
      </c>
      <c r="B133" s="10">
        <v>3.5</v>
      </c>
      <c r="C133" s="10">
        <v>20</v>
      </c>
      <c r="D133" s="10" t="s">
        <v>4</v>
      </c>
      <c r="E133" s="15">
        <f>0.2+0.875-0.012-0.025-0.026-0.044-0.085-0.025-0.006-0.002-0.025-0.036-0.025-0.026-0.007-0.075-0.1-0.05-0.028-0.05-0.028-0.001-0.013</f>
        <v>0.38599999999999984</v>
      </c>
      <c r="CC133" s="1"/>
      <c r="CD133" s="1"/>
      <c r="CE133" s="1"/>
      <c r="CF133" s="1"/>
      <c r="CG133" s="1"/>
      <c r="CH133" s="1"/>
    </row>
    <row r="134" spans="1:86" x14ac:dyDescent="0.3">
      <c r="A134" s="10">
        <v>30</v>
      </c>
      <c r="B134" s="10">
        <v>5</v>
      </c>
      <c r="C134" s="10">
        <v>20</v>
      </c>
      <c r="D134" s="10" t="s">
        <v>4</v>
      </c>
      <c r="E134" s="15">
        <f>1.07-0.106-0.55-0.002-0.072-0.006-0.037-0.071-0.006</f>
        <v>0.22000000000000003</v>
      </c>
      <c r="CC134" s="1"/>
      <c r="CD134" s="1"/>
      <c r="CE134" s="1"/>
      <c r="CF134" s="1"/>
      <c r="CG134" s="1"/>
      <c r="CH134" s="1"/>
    </row>
    <row r="135" spans="1:86" x14ac:dyDescent="0.3">
      <c r="A135" s="10">
        <v>30</v>
      </c>
      <c r="B135" s="10">
        <v>6.5</v>
      </c>
      <c r="C135" s="10" t="s">
        <v>26</v>
      </c>
      <c r="D135" s="10" t="s">
        <v>4</v>
      </c>
      <c r="E135" s="15">
        <f>1.05-0.23-0.024-0.028-0.014-0.004-0.242-0.007-0.025-0.023-0.075-0.025-0.27-0.024-0.071-0.023+0.15-0.027-0.025-0.047</f>
        <v>1.5999999999999917E-2</v>
      </c>
      <c r="CC135" s="1"/>
      <c r="CD135" s="1"/>
      <c r="CE135" s="1"/>
      <c r="CF135" s="1"/>
      <c r="CG135" s="1"/>
      <c r="CH135" s="1"/>
    </row>
    <row r="136" spans="1:86" x14ac:dyDescent="0.3">
      <c r="A136" s="10">
        <v>30</v>
      </c>
      <c r="B136" s="10">
        <v>8</v>
      </c>
      <c r="C136" s="10">
        <v>20</v>
      </c>
      <c r="D136" s="10" t="s">
        <v>4</v>
      </c>
      <c r="E136" s="15">
        <f>1.08-0.03-0.03-0.026-0.06-0.03-0.027-0.17-0.089-0.02-0.034-0.006-0.016-0.056-0.03-0.015-0.216-0.052-0.05-0.025-0.024+0.1-0.035-0.069</f>
        <v>6.999999999999984E-2</v>
      </c>
      <c r="CC136" s="1"/>
      <c r="CD136" s="1"/>
      <c r="CE136" s="1"/>
      <c r="CF136" s="1"/>
      <c r="CG136" s="1"/>
      <c r="CH136" s="1"/>
    </row>
    <row r="137" spans="1:86" x14ac:dyDescent="0.3">
      <c r="A137" s="10">
        <v>30</v>
      </c>
      <c r="B137" s="10">
        <v>8</v>
      </c>
      <c r="C137" s="10" t="s">
        <v>26</v>
      </c>
      <c r="D137" s="10" t="s">
        <v>4</v>
      </c>
      <c r="E137" s="15">
        <f>2.47-0.109-0.005-0.05-0.047</f>
        <v>2.2590000000000003</v>
      </c>
      <c r="CC137" s="1"/>
      <c r="CD137" s="1"/>
      <c r="CE137" s="1"/>
      <c r="CF137" s="1"/>
      <c r="CG137" s="1"/>
      <c r="CH137" s="1"/>
    </row>
    <row r="138" spans="1:86" x14ac:dyDescent="0.3">
      <c r="A138" s="8">
        <v>32</v>
      </c>
      <c r="B138" s="8">
        <v>2</v>
      </c>
      <c r="C138" s="8">
        <v>20</v>
      </c>
      <c r="D138" s="8" t="s">
        <v>8</v>
      </c>
      <c r="E138" s="9">
        <f>0.738-0.105-0.009-0.009-0.003-0.03-0.004-0.003-0.009</f>
        <v>0.56599999999999995</v>
      </c>
      <c r="CC138" s="1"/>
      <c r="CD138" s="1"/>
      <c r="CE138" s="1"/>
      <c r="CF138" s="1"/>
      <c r="CG138" s="1"/>
      <c r="CH138" s="1"/>
    </row>
    <row r="139" spans="1:86" x14ac:dyDescent="0.3">
      <c r="A139" s="10">
        <v>32</v>
      </c>
      <c r="B139" s="10">
        <v>2.5</v>
      </c>
      <c r="C139" s="10">
        <v>20</v>
      </c>
      <c r="D139" s="10" t="s">
        <v>4</v>
      </c>
      <c r="E139" s="15">
        <f>1.03-0.003-0.006-0.009-0.007-0.002-0.047-0.095</f>
        <v>0.86100000000000032</v>
      </c>
      <c r="CC139" s="1"/>
      <c r="CD139" s="1"/>
      <c r="CE139" s="1"/>
      <c r="CF139" s="1"/>
      <c r="CG139" s="1"/>
      <c r="CH139" s="1"/>
    </row>
    <row r="140" spans="1:86" x14ac:dyDescent="0.3">
      <c r="A140" s="10">
        <v>32</v>
      </c>
      <c r="B140" s="10">
        <v>2.5</v>
      </c>
      <c r="C140" s="10" t="s">
        <v>26</v>
      </c>
      <c r="D140" s="10" t="s">
        <v>4</v>
      </c>
      <c r="E140" s="15">
        <f>0.97-0.04-0.09-0.017-0.02-0.02-0.06-0.014-0.02</f>
        <v>0.68899999999999983</v>
      </c>
      <c r="CC140" s="1"/>
      <c r="CD140" s="1"/>
      <c r="CE140" s="1"/>
      <c r="CF140" s="1"/>
      <c r="CG140" s="1"/>
      <c r="CH140" s="1"/>
    </row>
    <row r="141" spans="1:86" x14ac:dyDescent="0.3">
      <c r="A141" s="10">
        <v>32</v>
      </c>
      <c r="B141" s="10">
        <v>3</v>
      </c>
      <c r="C141" s="10">
        <v>20</v>
      </c>
      <c r="D141" s="10" t="s">
        <v>1</v>
      </c>
      <c r="E141" s="15">
        <v>2E-3</v>
      </c>
      <c r="CC141" s="1"/>
      <c r="CD141" s="1"/>
      <c r="CE141" s="1"/>
      <c r="CF141" s="1"/>
      <c r="CG141" s="1"/>
      <c r="CH141" s="1"/>
    </row>
    <row r="142" spans="1:86" x14ac:dyDescent="0.3">
      <c r="A142" s="10">
        <v>32</v>
      </c>
      <c r="B142" s="10">
        <v>3</v>
      </c>
      <c r="C142" s="10">
        <v>20</v>
      </c>
      <c r="D142" s="10" t="s">
        <v>4</v>
      </c>
      <c r="E142" s="15">
        <f>2.924-0.505-0.017-0.001-0.07-0.073-0.018-0.004-0.017-0.3-0.5-0.4-0.042-0.5-0.072-0.034-0.3-0.001-0.005-0.002-0.024-0.118+0.17-0.047</f>
        <v>4.400000000000058E-2</v>
      </c>
      <c r="CC142" s="1"/>
      <c r="CD142" s="1"/>
      <c r="CE142" s="1"/>
      <c r="CF142" s="1"/>
      <c r="CG142" s="1"/>
      <c r="CH142" s="1"/>
    </row>
    <row r="143" spans="1:86" x14ac:dyDescent="0.3">
      <c r="A143" s="10">
        <v>32</v>
      </c>
      <c r="B143" s="10">
        <v>3</v>
      </c>
      <c r="C143" s="10">
        <v>20</v>
      </c>
      <c r="D143" s="10" t="s">
        <v>4</v>
      </c>
      <c r="E143" s="15">
        <f>2.705-0.011-0.058-0.006-0.086-0.003-0.08-0.003-0.06-0.008-0.002-0.016+0.003-0.002-0.001+0.961-0.054-0.027-0.003-0.31-0.001-0.002-0.016-0.001-0.029-0.011-0.055-0.003-0.075-0.029-0.36-0.054-0.026-0.12-0.026-0.052-0.016-0.08-0.026-0.012-0.003-0.033-0.026-0.01-0.077-0.151-0.085-0.022-0.126-0.013-0.012-0.025-0.07-0.002-0.054-0.014-0.076-0.008-0.001-0.001-0.09-0.016-0.011-0.008-0.058-0.077-0.008-0.002-0.008-0.034</f>
        <v>0.8240000000000014</v>
      </c>
      <c r="CC143" s="1"/>
      <c r="CD143" s="1"/>
      <c r="CE143" s="1"/>
      <c r="CF143" s="1"/>
      <c r="CG143" s="1"/>
      <c r="CH143" s="1"/>
    </row>
    <row r="144" spans="1:86" x14ac:dyDescent="0.3">
      <c r="A144" s="10">
        <v>32</v>
      </c>
      <c r="B144" s="10">
        <v>3</v>
      </c>
      <c r="C144" s="10" t="s">
        <v>26</v>
      </c>
      <c r="D144" s="10" t="s">
        <v>4</v>
      </c>
      <c r="E144" s="15">
        <f>0.91-0.026-0.044-0.045-0.003-0.5-0.049-0.06+0.005-0.004-0.001-0.007-0.095-0.003-0.017-0.013-0.003-0.042-0.002-0.006-0.03-0.021-0.001-0.001+0.061-0.001</f>
        <v>1.9999999999999194E-3</v>
      </c>
      <c r="CC144" s="1"/>
      <c r="CD144" s="1"/>
      <c r="CE144" s="1"/>
      <c r="CF144" s="1"/>
      <c r="CG144" s="1"/>
      <c r="CH144" s="1"/>
    </row>
    <row r="145" spans="1:86" x14ac:dyDescent="0.3">
      <c r="A145" s="10">
        <v>32</v>
      </c>
      <c r="B145" s="10">
        <v>3</v>
      </c>
      <c r="C145" s="10" t="s">
        <v>26</v>
      </c>
      <c r="D145" s="10" t="s">
        <v>4</v>
      </c>
      <c r="E145" s="15">
        <f>2.54-0.001-0.026-0.003-0.022-0.006-0.309-0.15-0.002-0.003-0.019-0.008-0.002-0.002-0.026-0.028-0.003-0.013-0.007-0.019-0.023-0.006-0.012-0.052-0.002-0.016-0.003-0.025-0.055-0.004-0.009-0.018+2.47-0.009-0.007-0.003-0.007-0.054-0.004-0.008-0.028-0.016-0.028-0.003-0.016-0.002-0.013-0.034-0.031-0.01-0.026-0.006-0.123-0.032-0.003-0.004-0.004-0.026-0.008-0.1-0.031-0.001-0.092-0.021-0.002-0.064-0.003-0.066-0.031-0.011-0.004-0.004-0.031-0.031-0.255-0.008-0.008-0.031-0.002</f>
        <v>2.8350000000000035</v>
      </c>
      <c r="CC145" s="1"/>
      <c r="CD145" s="1"/>
      <c r="CE145" s="1"/>
      <c r="CF145" s="1"/>
      <c r="CG145" s="1"/>
      <c r="CH145" s="1"/>
    </row>
    <row r="146" spans="1:86" x14ac:dyDescent="0.3">
      <c r="A146" s="10">
        <v>32</v>
      </c>
      <c r="B146" s="10">
        <v>3</v>
      </c>
      <c r="C146" s="10" t="s">
        <v>28</v>
      </c>
      <c r="D146" s="10" t="s">
        <v>4</v>
      </c>
      <c r="E146" s="15">
        <f>0.173-0.075+3.055-0.029-0.015-0.015-0.014-0.014+0.029-1.097-0.025-0.008-0.22-0.08-0.04-0.015-0.026-0.004-0.112-0.025-0.004-0.29-0.051-0.013-0.013-0.029-0.035-0.038-0.084-0.075-0.96+0.156</f>
        <v>7.0000000000007556E-3</v>
      </c>
      <c r="CC146" s="1"/>
      <c r="CD146" s="1"/>
      <c r="CE146" s="1"/>
      <c r="CF146" s="1"/>
      <c r="CG146" s="1"/>
      <c r="CH146" s="1"/>
    </row>
    <row r="147" spans="1:86" x14ac:dyDescent="0.3">
      <c r="A147" s="10">
        <v>32</v>
      </c>
      <c r="B147" s="10">
        <v>3.5</v>
      </c>
      <c r="C147" s="10">
        <v>20</v>
      </c>
      <c r="D147" s="10" t="s">
        <v>4</v>
      </c>
      <c r="E147" s="15">
        <f>3.05-0.113-0.31-0.001-0.009-0.024-0.004-0.17-0.006-0.28-0.046-0.06-0.024-0.004-0.05-0.089-1.8-0.005-0.001-0.015</f>
        <v>3.9000000000000055E-2</v>
      </c>
      <c r="CC147" s="1"/>
      <c r="CD147" s="1"/>
      <c r="CE147" s="1"/>
      <c r="CF147" s="1"/>
      <c r="CG147" s="1"/>
      <c r="CH147" s="1"/>
    </row>
    <row r="148" spans="1:86" x14ac:dyDescent="0.3">
      <c r="A148" s="10">
        <v>32</v>
      </c>
      <c r="B148" s="10">
        <v>3.5</v>
      </c>
      <c r="C148" s="10">
        <v>20</v>
      </c>
      <c r="D148" s="10" t="s">
        <v>4</v>
      </c>
      <c r="E148" s="15">
        <f>1.8-0.003-0.007-0.047-0.038-0.024-0.001-0.069-0.001-0.005-0.024-0.005-0.004-0.046-0.024-0.047-0.01-0.047-0.047-0.024-0.004-0.006-0.005-0.005</f>
        <v>1.307000000000001</v>
      </c>
      <c r="CC148" s="1"/>
      <c r="CD148" s="1"/>
      <c r="CE148" s="1"/>
      <c r="CF148" s="1"/>
      <c r="CG148" s="1"/>
      <c r="CH148" s="1"/>
    </row>
    <row r="149" spans="1:86" x14ac:dyDescent="0.3">
      <c r="A149" s="10">
        <v>32</v>
      </c>
      <c r="B149" s="10">
        <v>3.5</v>
      </c>
      <c r="C149" s="10" t="s">
        <v>26</v>
      </c>
      <c r="D149" s="10" t="s">
        <v>4</v>
      </c>
      <c r="E149" s="15">
        <f>2.09-0.004-0.115-0.009-0.007-0.031-0.032-0.041-0.06-0.004-0.03-0.048-0.009-0.091-0.003-0.013-0.052-0.03-0.002-0.095</f>
        <v>1.4140000000000004</v>
      </c>
      <c r="CC149" s="1"/>
      <c r="CD149" s="1"/>
      <c r="CE149" s="1"/>
      <c r="CF149" s="1"/>
      <c r="CG149" s="1"/>
      <c r="CH149" s="1"/>
    </row>
    <row r="150" spans="1:86" x14ac:dyDescent="0.3">
      <c r="A150" s="10">
        <v>32</v>
      </c>
      <c r="B150" s="10">
        <v>3.5</v>
      </c>
      <c r="C150" s="10">
        <v>35</v>
      </c>
      <c r="D150" s="10" t="s">
        <v>4</v>
      </c>
      <c r="E150" s="15">
        <f>2.15-0.086-0.021-0.059-0.25-0.03-0.21-0.26-0.115-0.025-0.675-0.029-0.005-0.004-0.142-0.096+0.35-0.018</f>
        <v>0.4750000000000002</v>
      </c>
      <c r="CC150" s="1"/>
      <c r="CD150" s="1"/>
      <c r="CE150" s="1"/>
      <c r="CF150" s="1"/>
      <c r="CG150" s="1"/>
      <c r="CH150" s="1"/>
    </row>
    <row r="151" spans="1:86" x14ac:dyDescent="0.3">
      <c r="A151" s="10">
        <v>32</v>
      </c>
      <c r="B151" s="10">
        <v>4</v>
      </c>
      <c r="C151" s="10">
        <v>20</v>
      </c>
      <c r="D151" s="10" t="s">
        <v>4</v>
      </c>
      <c r="E151" s="15">
        <f>14.19-0.013-0.008-0.004-0.007-0.005-0.008-0.002-0.013-0.004-0.013-0.002-0.015-0.013-0.013-0.009-0.003-0.004-0.005-0.009-0.036-0.03-0.049-0.015-0.002-0.002-0.004-0.125-0.043-0.01-0.02-0.002</f>
        <v>13.702</v>
      </c>
      <c r="CC151" s="1"/>
      <c r="CD151" s="1"/>
      <c r="CE151" s="1"/>
      <c r="CF151" s="1"/>
      <c r="CG151" s="1"/>
      <c r="CH151" s="1"/>
    </row>
    <row r="152" spans="1:86" ht="16.5" customHeight="1" x14ac:dyDescent="0.3">
      <c r="A152" s="10">
        <v>32</v>
      </c>
      <c r="B152" s="10">
        <v>4</v>
      </c>
      <c r="C152" s="10">
        <v>20</v>
      </c>
      <c r="D152" s="10" t="s">
        <v>4</v>
      </c>
      <c r="E152" s="15">
        <f>0.085-0.004-0.029-0.002-0.005-0.029+0.003+0.57-0.004-0.012-0.055-0.055-0.016-0.081-0.002-0.006-0.019-0.006-0.18-0.002-0.027-0.093-0.007</f>
        <v>2.3999999999999862E-2</v>
      </c>
      <c r="CC152" s="1"/>
      <c r="CD152" s="1"/>
      <c r="CE152" s="1"/>
      <c r="CF152" s="1"/>
      <c r="CG152" s="1"/>
      <c r="CH152" s="1"/>
    </row>
    <row r="153" spans="1:86" ht="16.5" customHeight="1" x14ac:dyDescent="0.3">
      <c r="A153" s="10">
        <v>32</v>
      </c>
      <c r="B153" s="10">
        <v>4</v>
      </c>
      <c r="C153" s="10">
        <v>20</v>
      </c>
      <c r="D153" s="10" t="s">
        <v>32</v>
      </c>
      <c r="E153" s="15">
        <f>2.06-0.148-0.1-0.148-0.004-0.194-0.007-0.013-0.002-0.037-0.006</f>
        <v>1.4010000000000005</v>
      </c>
      <c r="CC153" s="1"/>
      <c r="CD153" s="1"/>
      <c r="CE153" s="1"/>
      <c r="CF153" s="1"/>
      <c r="CG153" s="1"/>
      <c r="CH153" s="1"/>
    </row>
    <row r="154" spans="1:86" ht="16.5" customHeight="1" x14ac:dyDescent="0.3">
      <c r="A154" s="10">
        <v>32</v>
      </c>
      <c r="B154" s="10">
        <v>4</v>
      </c>
      <c r="C154" s="10" t="s">
        <v>26</v>
      </c>
      <c r="D154" s="10" t="s">
        <v>4</v>
      </c>
      <c r="E154" s="15">
        <f>3.07-0.055-0.25-0.278-0.004-0.01-0.004-0.2-0.04-0.01-0.01-0.031-0.015-0.007-2.12-0.002-0.006-0.002-0.01-0.001</f>
        <v>1.4999999999999583E-2</v>
      </c>
      <c r="CC154" s="1"/>
      <c r="CD154" s="1"/>
      <c r="CE154" s="1"/>
      <c r="CF154" s="1"/>
      <c r="CG154" s="1"/>
      <c r="CH154" s="1"/>
    </row>
    <row r="155" spans="1:86" x14ac:dyDescent="0.3">
      <c r="A155" s="10">
        <v>32</v>
      </c>
      <c r="B155" s="10">
        <v>4</v>
      </c>
      <c r="C155" s="10" t="s">
        <v>26</v>
      </c>
      <c r="D155" s="10" t="s">
        <v>4</v>
      </c>
      <c r="E155" s="15">
        <f>2.12-0.027-0.015-0.016-0.003-0.004-0.018-0.016-0.002-0.014-0.018-0.004-0.004-0.015-0.004-0.016-0.004-0.008-0.004-0.053-0.007-0.042-0.095-0.004-0.015-0.086-0.005-0.015-0.089-0.011-0.002-0.005-0.013-0.13-0.06-0.043-0.015-0.002-0.002-0.015-0.019-0.014-0.002-0.014-0.007-0.015-0.01-0.003-0.005-0.004-0.004-0.003-0.052-0.002-0.028-0.004-0.002-0.004-0.053-0.004-0.006-0.015-0.028-0.042-0.002-0.018-0.002-0.013-0.014-0.24-0.011-0.015-0.004-0.028-0.001-0.014-0.1-0.008-0.001-0.004-0.004-0.028-0.008-0.009-0.004-0.07-0.015-0.002-0.003+0.3-0.002-0.012-0.007-0.015-0.002-0.002-0.019-0.015-0.02-0.013-0.002</f>
        <v>0.45200000000000151</v>
      </c>
      <c r="CC155" s="1"/>
      <c r="CD155" s="1"/>
      <c r="CE155" s="1"/>
      <c r="CF155" s="1"/>
      <c r="CG155" s="1"/>
      <c r="CH155" s="1"/>
    </row>
    <row r="156" spans="1:86" x14ac:dyDescent="0.3">
      <c r="A156" s="10">
        <v>32</v>
      </c>
      <c r="B156" s="10">
        <v>4</v>
      </c>
      <c r="C156" s="10" t="s">
        <v>31</v>
      </c>
      <c r="D156" s="10" t="s">
        <v>32</v>
      </c>
      <c r="E156" s="15">
        <f>2.11-0.074-0.037-0.25-0.074</f>
        <v>1.675</v>
      </c>
      <c r="CC156" s="1"/>
      <c r="CD156" s="1"/>
      <c r="CE156" s="1"/>
      <c r="CF156" s="1"/>
      <c r="CG156" s="1"/>
      <c r="CH156" s="1"/>
    </row>
    <row r="157" spans="1:86" x14ac:dyDescent="0.3">
      <c r="A157" s="10">
        <v>32</v>
      </c>
      <c r="B157" s="10">
        <v>4.5</v>
      </c>
      <c r="C157" s="10">
        <v>20</v>
      </c>
      <c r="D157" s="10" t="s">
        <v>4</v>
      </c>
      <c r="E157" s="15">
        <f>0.539-0.026-0.036-0.006-0.025-0.007-0.018</f>
        <v>0.42099999999999999</v>
      </c>
      <c r="CC157" s="1"/>
      <c r="CD157" s="1"/>
      <c r="CE157" s="1"/>
      <c r="CF157" s="1"/>
      <c r="CG157" s="1"/>
      <c r="CH157" s="1"/>
    </row>
    <row r="158" spans="1:86" x14ac:dyDescent="0.3">
      <c r="A158" s="10">
        <v>32</v>
      </c>
      <c r="B158" s="10">
        <v>4.5</v>
      </c>
      <c r="C158" s="10" t="s">
        <v>30</v>
      </c>
      <c r="D158" s="10" t="s">
        <v>4</v>
      </c>
      <c r="E158" s="15">
        <f>0.94-0.006-0.025+0.014-0.004-0.007-0.06-0.004-0.003-0.004-0.004-0.004-0.03</f>
        <v>0.80299999999999983</v>
      </c>
      <c r="CC158" s="1"/>
      <c r="CD158" s="1"/>
      <c r="CE158" s="1"/>
      <c r="CF158" s="1"/>
      <c r="CG158" s="1"/>
      <c r="CH158" s="1"/>
    </row>
    <row r="159" spans="1:86" x14ac:dyDescent="0.3">
      <c r="A159" s="10">
        <v>32</v>
      </c>
      <c r="B159" s="10">
        <v>5</v>
      </c>
      <c r="C159" s="10">
        <v>20</v>
      </c>
      <c r="D159" s="10" t="s">
        <v>4</v>
      </c>
      <c r="E159" s="15">
        <f>1.52+0.1+0.43-0.02+0.017-0.004-0.008-0.009-0.02-0.029-0.056-0.008-0.006+0.033-0.004-0.004-0.038-0.004-0.012-0.014-0.032-0.003-0.008-0.003-0.004-0.024-0.016-0.001-0.016+0.031-0.019-0.001-0.002-0.014-0.005-0.006-0.002-0.008-0.006-0.01-0.032-0.028-0.007-0.002-0.009-0.006-0.006</f>
        <v>1.6250000000000007</v>
      </c>
      <c r="CC159" s="1"/>
      <c r="CD159" s="1"/>
      <c r="CE159" s="1"/>
      <c r="CF159" s="1"/>
      <c r="CG159" s="1"/>
      <c r="CH159" s="1"/>
    </row>
    <row r="160" spans="1:86" x14ac:dyDescent="0.3">
      <c r="A160" s="10">
        <v>32</v>
      </c>
      <c r="B160" s="10">
        <v>5</v>
      </c>
      <c r="C160" s="10" t="s">
        <v>26</v>
      </c>
      <c r="D160" s="10" t="s">
        <v>4</v>
      </c>
      <c r="E160" s="15">
        <f>7.55-0.004-0.102-0.036-0.41-0.003-0.012-0.023-0.004-0.002-0.039-0.011-0.038-0.003-0.008-0.042-0.008-0.008-0.032-0.035-0.08-0.003-0.005-0.004-0.012-0.017-0.04-0.041-0.042-0.078-0.004-0.004-0.163-0.012-0.002-0.018-0.576-0.023-0.004</f>
        <v>5.6020000000000039</v>
      </c>
      <c r="CC160" s="1"/>
      <c r="CD160" s="1"/>
      <c r="CE160" s="1"/>
      <c r="CF160" s="1"/>
      <c r="CG160" s="1"/>
      <c r="CH160" s="1"/>
    </row>
    <row r="161" spans="1:86" x14ac:dyDescent="0.3">
      <c r="A161" s="10">
        <v>32</v>
      </c>
      <c r="B161" s="10">
        <v>5</v>
      </c>
      <c r="C161" s="10" t="s">
        <v>28</v>
      </c>
      <c r="D161" s="10" t="s">
        <v>4</v>
      </c>
      <c r="E161" s="15">
        <f>2.49-0.17-0.032+0.006-0.004-0.153-0.058-0.031-0.004-0.011-0.011-0.031-0.005-0.093-0.092-0.033-0.011-0.004-0.004-0.004-0.062-0.032-0.01-0.031-0.299-0.006-0.008-0.03-0.12-0.031-0.007-0.03-0.018</f>
        <v>1.0610000000000004</v>
      </c>
      <c r="CC161" s="1"/>
      <c r="CD161" s="1"/>
      <c r="CE161" s="1"/>
      <c r="CF161" s="1"/>
      <c r="CG161" s="1"/>
      <c r="CH161" s="1"/>
    </row>
    <row r="162" spans="1:86" x14ac:dyDescent="0.3">
      <c r="A162" s="8">
        <v>32</v>
      </c>
      <c r="B162" s="8">
        <v>5</v>
      </c>
      <c r="C162" s="8" t="s">
        <v>31</v>
      </c>
      <c r="D162" s="8" t="s">
        <v>32</v>
      </c>
      <c r="E162" s="9">
        <f>0.01+0.001-0.001-0.003</f>
        <v>6.9999999999999984E-3</v>
      </c>
      <c r="CC162" s="1"/>
      <c r="CD162" s="1"/>
      <c r="CE162" s="1"/>
      <c r="CF162" s="1"/>
      <c r="CG162" s="1"/>
      <c r="CH162" s="1"/>
    </row>
    <row r="163" spans="1:86" x14ac:dyDescent="0.3">
      <c r="A163" s="10">
        <v>32</v>
      </c>
      <c r="B163" s="10">
        <v>5</v>
      </c>
      <c r="C163" s="10" t="s">
        <v>29</v>
      </c>
      <c r="D163" s="10" t="s">
        <v>142</v>
      </c>
      <c r="E163" s="15">
        <f>1.61-0.036</f>
        <v>1.5740000000000001</v>
      </c>
      <c r="CC163" s="1"/>
      <c r="CD163" s="1"/>
      <c r="CE163" s="1"/>
      <c r="CF163" s="1"/>
      <c r="CG163" s="1"/>
      <c r="CH163" s="1"/>
    </row>
    <row r="164" spans="1:86" x14ac:dyDescent="0.3">
      <c r="A164" s="10">
        <v>32</v>
      </c>
      <c r="B164" s="10">
        <v>5</v>
      </c>
      <c r="C164" s="10" t="s">
        <v>29</v>
      </c>
      <c r="D164" s="10" t="s">
        <v>142</v>
      </c>
      <c r="E164" s="15">
        <f>2-1.61</f>
        <v>0.3899999999999999</v>
      </c>
      <c r="CC164" s="1"/>
      <c r="CD164" s="1"/>
      <c r="CE164" s="1"/>
      <c r="CF164" s="1"/>
      <c r="CG164" s="1"/>
      <c r="CH164" s="1"/>
    </row>
    <row r="165" spans="1:86" x14ac:dyDescent="0.3">
      <c r="A165" s="10">
        <v>32</v>
      </c>
      <c r="B165" s="10">
        <v>6</v>
      </c>
      <c r="C165" s="10">
        <v>20</v>
      </c>
      <c r="D165" s="10" t="s">
        <v>1</v>
      </c>
      <c r="E165" s="15">
        <f>0.016-0.014+0.004</f>
        <v>6.0000000000000001E-3</v>
      </c>
      <c r="CC165" s="1"/>
      <c r="CD165" s="1"/>
      <c r="CE165" s="1"/>
      <c r="CF165" s="1"/>
      <c r="CG165" s="1"/>
      <c r="CH165" s="1"/>
    </row>
    <row r="166" spans="1:86" x14ac:dyDescent="0.3">
      <c r="A166" s="8">
        <v>32</v>
      </c>
      <c r="B166" s="8">
        <v>6</v>
      </c>
      <c r="C166" s="8">
        <v>20</v>
      </c>
      <c r="D166" s="8" t="s">
        <v>4</v>
      </c>
      <c r="E166" s="9">
        <f>1.032-0.099-0.051-0.002-0.05-0.006-0.05-0.092-0.006</f>
        <v>0.67599999999999993</v>
      </c>
      <c r="CC166" s="1"/>
      <c r="CD166" s="1"/>
      <c r="CE166" s="1"/>
      <c r="CF166" s="1"/>
      <c r="CG166" s="1"/>
      <c r="CH166" s="1"/>
    </row>
    <row r="167" spans="1:86" x14ac:dyDescent="0.3">
      <c r="A167" s="10">
        <v>32</v>
      </c>
      <c r="B167" s="10">
        <v>6</v>
      </c>
      <c r="C167" s="10">
        <v>20</v>
      </c>
      <c r="D167" s="10" t="s">
        <v>32</v>
      </c>
      <c r="E167" s="15">
        <v>0.04</v>
      </c>
      <c r="CC167" s="1"/>
      <c r="CD167" s="1"/>
      <c r="CE167" s="1"/>
      <c r="CF167" s="1"/>
      <c r="CG167" s="1"/>
      <c r="CH167" s="1"/>
    </row>
    <row r="168" spans="1:86" x14ac:dyDescent="0.3">
      <c r="A168" s="10">
        <v>32</v>
      </c>
      <c r="B168" s="10">
        <v>6</v>
      </c>
      <c r="C168" s="10" t="s">
        <v>31</v>
      </c>
      <c r="D168" s="10" t="s">
        <v>32</v>
      </c>
      <c r="E168" s="15">
        <f>2.21-0.002-0.031-0.025-0.025-0.075</f>
        <v>2.052</v>
      </c>
      <c r="CC168" s="1"/>
      <c r="CD168" s="1"/>
      <c r="CE168" s="1"/>
      <c r="CF168" s="1"/>
      <c r="CG168" s="1"/>
      <c r="CH168" s="1"/>
    </row>
    <row r="169" spans="1:86" x14ac:dyDescent="0.3">
      <c r="A169" s="10">
        <v>32</v>
      </c>
      <c r="B169" s="10">
        <v>6</v>
      </c>
      <c r="C169" s="10" t="s">
        <v>29</v>
      </c>
      <c r="D169" s="10" t="s">
        <v>3</v>
      </c>
      <c r="E169" s="15">
        <f>0.86-0.018-0.22-0.043-0.012-0.09-0.009-0.014-0.085+0.021-0.046-0.005-0.047-0.09-0.003-0.042-0.005-0.006-0.009-0.002-0.01-0.042-0.014-0.044+0.1-0.052</f>
        <v>7.2999999999999982E-2</v>
      </c>
      <c r="CC169" s="1"/>
      <c r="CD169" s="1"/>
      <c r="CE169" s="1"/>
      <c r="CF169" s="1"/>
      <c r="CG169" s="1"/>
      <c r="CH169" s="1"/>
    </row>
    <row r="170" spans="1:86" x14ac:dyDescent="0.3">
      <c r="A170" s="10">
        <v>32</v>
      </c>
      <c r="B170" s="10">
        <v>6.5</v>
      </c>
      <c r="C170" s="10">
        <v>20</v>
      </c>
      <c r="D170" s="10" t="s">
        <v>4</v>
      </c>
      <c r="E170" s="15">
        <f>0.085-0.024+0.57-0.075-0.07-0.027-0.006-0.045-0.023-0.034-0.07</f>
        <v>0.28099999999999997</v>
      </c>
      <c r="CC170" s="1"/>
      <c r="CD170" s="1"/>
      <c r="CE170" s="1"/>
      <c r="CF170" s="1"/>
      <c r="CG170" s="1"/>
      <c r="CH170" s="1"/>
    </row>
    <row r="171" spans="1:86" x14ac:dyDescent="0.3">
      <c r="A171" s="10">
        <v>32</v>
      </c>
      <c r="B171" s="10">
        <v>6.5</v>
      </c>
      <c r="C171" s="10" t="s">
        <v>26</v>
      </c>
      <c r="D171" s="10" t="s">
        <v>4</v>
      </c>
      <c r="E171" s="15">
        <f>1.08-0.003-0.003-0.002-0.051-0.053-0.021-0.006-0.004-0.005-0.002-0.011-0.025-0.004-0.003</f>
        <v>0.88700000000000023</v>
      </c>
      <c r="CC171" s="1"/>
      <c r="CD171" s="1"/>
      <c r="CE171" s="1"/>
      <c r="CF171" s="1"/>
      <c r="CG171" s="1"/>
      <c r="CH171" s="1"/>
    </row>
    <row r="172" spans="1:86" x14ac:dyDescent="0.3">
      <c r="A172" s="10">
        <v>32</v>
      </c>
      <c r="B172" s="10">
        <v>7</v>
      </c>
      <c r="C172" s="10" t="s">
        <v>29</v>
      </c>
      <c r="D172" s="10" t="s">
        <v>142</v>
      </c>
      <c r="E172" s="15">
        <f>1.91-0.008-0.013</f>
        <v>1.889</v>
      </c>
      <c r="CC172" s="1"/>
      <c r="CD172" s="1"/>
      <c r="CE172" s="1"/>
      <c r="CF172" s="1"/>
      <c r="CG172" s="1"/>
      <c r="CH172" s="1"/>
    </row>
    <row r="173" spans="1:86" x14ac:dyDescent="0.3">
      <c r="A173" s="10">
        <v>32</v>
      </c>
      <c r="B173" s="10">
        <v>8</v>
      </c>
      <c r="C173" s="10">
        <v>20</v>
      </c>
      <c r="D173" s="10" t="s">
        <v>4</v>
      </c>
      <c r="E173" s="15">
        <f>1.03-0.041-0.08+0.024-0.041-0.022-0.077-0.041-0.142-0.012-0.019-0.009-0.08-0.041-0.04-0.041-0.041-0.005-0.16+0.1-0.033-0.077-0.08-0.003</f>
        <v>6.900000000000002E-2</v>
      </c>
      <c r="CC173" s="1"/>
      <c r="CD173" s="1"/>
      <c r="CE173" s="1"/>
      <c r="CF173" s="1"/>
      <c r="CG173" s="1"/>
      <c r="CH173" s="1"/>
    </row>
    <row r="174" spans="1:86" x14ac:dyDescent="0.3">
      <c r="A174" s="10">
        <v>32</v>
      </c>
      <c r="B174" s="10">
        <v>8</v>
      </c>
      <c r="C174" s="10" t="s">
        <v>26</v>
      </c>
      <c r="D174" s="10" t="s">
        <v>4</v>
      </c>
      <c r="E174" s="15">
        <f>1.13+1.66-0.006-0.004-0.031-0.056-0.005-0.168-0.006-0.056-0.09-0.01-0.031-0.005-0.056-0.003-0.165-0.004-0.004-0.032-0.006-0.003-0.006-0.047-0.006</f>
        <v>1.9900000000000007</v>
      </c>
      <c r="CC174" s="1"/>
      <c r="CD174" s="1"/>
      <c r="CE174" s="1"/>
      <c r="CF174" s="1"/>
      <c r="CG174" s="1"/>
      <c r="CH174" s="1"/>
    </row>
    <row r="175" spans="1:86" x14ac:dyDescent="0.3">
      <c r="A175" s="10">
        <v>32</v>
      </c>
      <c r="B175" s="10">
        <v>8</v>
      </c>
      <c r="C175" s="10" t="s">
        <v>28</v>
      </c>
      <c r="D175" s="10" t="s">
        <v>4</v>
      </c>
      <c r="E175" s="15">
        <f>2.13-0.016-0.003-0.08-0.055-0.003-0.98-0.055</f>
        <v>0.93799999999999983</v>
      </c>
      <c r="CC175" s="1"/>
      <c r="CD175" s="1"/>
      <c r="CE175" s="1"/>
      <c r="CF175" s="1"/>
      <c r="CG175" s="1"/>
      <c r="CH175" s="1"/>
    </row>
    <row r="176" spans="1:86" x14ac:dyDescent="0.3">
      <c r="A176" s="10">
        <v>32</v>
      </c>
      <c r="B176" s="10">
        <v>8</v>
      </c>
      <c r="C176" s="10" t="s">
        <v>31</v>
      </c>
      <c r="D176" s="10" t="s">
        <v>32</v>
      </c>
      <c r="E176" s="15">
        <v>0.22800000000000001</v>
      </c>
      <c r="CC176" s="1"/>
      <c r="CD176" s="1"/>
      <c r="CE176" s="1"/>
      <c r="CF176" s="1"/>
      <c r="CG176" s="1"/>
      <c r="CH176" s="1"/>
    </row>
    <row r="177" spans="1:86" x14ac:dyDescent="0.3">
      <c r="A177" s="10">
        <v>33</v>
      </c>
      <c r="B177" s="10">
        <v>3</v>
      </c>
      <c r="C177" s="10" t="s">
        <v>34</v>
      </c>
      <c r="D177" s="10" t="s">
        <v>7</v>
      </c>
      <c r="E177" s="15">
        <f>0.267-0.031</f>
        <v>0.23600000000000002</v>
      </c>
      <c r="CC177" s="1"/>
      <c r="CD177" s="1"/>
      <c r="CE177" s="1"/>
      <c r="CF177" s="1"/>
      <c r="CG177" s="1"/>
      <c r="CH177" s="1"/>
    </row>
    <row r="178" spans="1:86" x14ac:dyDescent="0.3">
      <c r="A178" s="10">
        <v>34</v>
      </c>
      <c r="B178" s="10">
        <v>3</v>
      </c>
      <c r="C178" s="10" t="s">
        <v>71</v>
      </c>
      <c r="D178" s="10" t="s">
        <v>7</v>
      </c>
      <c r="E178" s="15">
        <v>1.4999999999999999E-2</v>
      </c>
      <c r="CC178" s="1"/>
      <c r="CD178" s="1"/>
      <c r="CE178" s="1"/>
      <c r="CF178" s="1"/>
      <c r="CG178" s="1"/>
      <c r="CH178" s="1"/>
    </row>
    <row r="179" spans="1:86" x14ac:dyDescent="0.3">
      <c r="A179" s="10">
        <v>34</v>
      </c>
      <c r="B179" s="10">
        <v>3</v>
      </c>
      <c r="C179" s="10">
        <v>20</v>
      </c>
      <c r="D179" s="10" t="s">
        <v>4</v>
      </c>
      <c r="E179" s="15">
        <f>1.01-0.021-0.016-0.035-0.05-0.03-0.058-0.06-0.035+0.016-0.068-0.007-0.002-0.005-0.075-0.004-0.008-0.023-0.165-0.015-0.016-0.003-0.071-0.085-0.056-0.009-0.026-0.09+0.23-0.16+0.075-0.032-0.012-0.002-0.028</f>
        <v>6.3999999999999738E-2</v>
      </c>
      <c r="CC179" s="1"/>
      <c r="CD179" s="1"/>
      <c r="CE179" s="1"/>
      <c r="CF179" s="1"/>
      <c r="CG179" s="1"/>
      <c r="CH179" s="1"/>
    </row>
    <row r="180" spans="1:86" x14ac:dyDescent="0.3">
      <c r="A180" s="10">
        <v>34</v>
      </c>
      <c r="B180" s="10">
        <v>3</v>
      </c>
      <c r="C180" s="10" t="s">
        <v>26</v>
      </c>
      <c r="D180" s="10" t="s">
        <v>4</v>
      </c>
      <c r="E180" s="15">
        <f>3.11-0.003-0.003-0.058-0.65-0.012-0.257-0.001-0.029-0.006-0.029-0.029-0.172-0.006-0.006-0.014-0.029-0.003-0.006-0.003-0.01-0.016-0.029-0.019</f>
        <v>1.7200000000000009</v>
      </c>
      <c r="CC180" s="1"/>
      <c r="CD180" s="1"/>
      <c r="CE180" s="1"/>
      <c r="CF180" s="1"/>
      <c r="CG180" s="1"/>
      <c r="CH180" s="1"/>
    </row>
    <row r="181" spans="1:86" x14ac:dyDescent="0.3">
      <c r="A181" s="8">
        <v>34</v>
      </c>
      <c r="B181" s="8">
        <v>3</v>
      </c>
      <c r="C181" s="8" t="s">
        <v>28</v>
      </c>
      <c r="D181" s="8" t="s">
        <v>4</v>
      </c>
      <c r="E181" s="9">
        <f>1.04-0.013-0.003-0.005-0.305-0.014</f>
        <v>0.7000000000000004</v>
      </c>
      <c r="CC181" s="1"/>
      <c r="CD181" s="1"/>
      <c r="CE181" s="1"/>
      <c r="CF181" s="1"/>
      <c r="CG181" s="1"/>
      <c r="CH181" s="1"/>
    </row>
    <row r="182" spans="1:86" x14ac:dyDescent="0.3">
      <c r="A182" s="10">
        <v>34</v>
      </c>
      <c r="B182" s="10">
        <v>3</v>
      </c>
      <c r="C182" s="10" t="s">
        <v>30</v>
      </c>
      <c r="D182" s="10" t="s">
        <v>4</v>
      </c>
      <c r="E182" s="15">
        <f>1.06-0.022-0.009</f>
        <v>1.0290000000000001</v>
      </c>
      <c r="CC182" s="1"/>
      <c r="CD182" s="1"/>
      <c r="CE182" s="1"/>
      <c r="CF182" s="1"/>
      <c r="CG182" s="1"/>
      <c r="CH182" s="1"/>
    </row>
    <row r="183" spans="1:86" x14ac:dyDescent="0.3">
      <c r="A183" s="10">
        <v>34</v>
      </c>
      <c r="B183" s="10">
        <v>3.5</v>
      </c>
      <c r="C183" s="10">
        <v>10</v>
      </c>
      <c r="D183" s="10" t="s">
        <v>4</v>
      </c>
      <c r="E183" s="15">
        <f>1.41-0.027-0.027-0.002-0.008-0.018-0.004-1.33+0.06-0.019</f>
        <v>3.4999999999999989E-2</v>
      </c>
      <c r="CC183" s="1"/>
      <c r="CD183" s="1"/>
      <c r="CE183" s="1"/>
      <c r="CF183" s="1"/>
      <c r="CG183" s="1"/>
      <c r="CH183" s="1"/>
    </row>
    <row r="184" spans="1:86" x14ac:dyDescent="0.3">
      <c r="A184" s="10">
        <v>34</v>
      </c>
      <c r="B184" s="10">
        <v>3.5</v>
      </c>
      <c r="C184" s="10">
        <v>10</v>
      </c>
      <c r="D184" s="10" t="s">
        <v>4</v>
      </c>
      <c r="E184" s="15">
        <f>1.33-0.22+0.019-0.002-0.017-0.027-0.027-0.053-0.005-0.027-0.027-0.127-0.004-0.005-0.01-0.005-0.002-0.002</f>
        <v>0.78900000000000026</v>
      </c>
      <c r="CC184" s="1"/>
      <c r="CD184" s="1"/>
      <c r="CE184" s="1"/>
      <c r="CF184" s="1"/>
      <c r="CG184" s="1"/>
      <c r="CH184" s="1"/>
    </row>
    <row r="185" spans="1:86" x14ac:dyDescent="0.3">
      <c r="A185" s="10">
        <v>34</v>
      </c>
      <c r="B185" s="10">
        <v>4.5</v>
      </c>
      <c r="C185" s="10" t="s">
        <v>26</v>
      </c>
      <c r="D185" s="10" t="s">
        <v>4</v>
      </c>
      <c r="E185" s="15">
        <v>8.9999999999999993E-3</v>
      </c>
      <c r="CC185" s="1"/>
      <c r="CD185" s="1"/>
      <c r="CE185" s="1"/>
      <c r="CF185" s="1"/>
      <c r="CG185" s="1"/>
      <c r="CH185" s="1"/>
    </row>
    <row r="186" spans="1:86" x14ac:dyDescent="0.3">
      <c r="A186" s="10">
        <v>34</v>
      </c>
      <c r="B186" s="10">
        <v>5</v>
      </c>
      <c r="C186" s="10">
        <v>20</v>
      </c>
      <c r="D186" s="10" t="s">
        <v>4</v>
      </c>
      <c r="E186" s="15">
        <f>2.96-0.085-0.007-0.001-0.001-0.013-0.115-0.195-0.007-0.028-0.017-0.007-0.025-0.013-0.012-0.007-0.003-0.014-0.002-0.005-0.03-0.011-0.002-0.02-0.028-0.055-0.001-0.003-0.017-0.024-0.056-0.008-0.003</f>
        <v>2.1450000000000005</v>
      </c>
      <c r="CC186" s="1"/>
      <c r="CD186" s="1"/>
      <c r="CE186" s="1"/>
      <c r="CF186" s="1"/>
      <c r="CG186" s="1"/>
      <c r="CH186" s="1"/>
    </row>
    <row r="187" spans="1:86" x14ac:dyDescent="0.3">
      <c r="A187" s="10">
        <v>34</v>
      </c>
      <c r="B187" s="10">
        <v>5</v>
      </c>
      <c r="C187" s="10" t="s">
        <v>26</v>
      </c>
      <c r="D187" s="10" t="s">
        <v>4</v>
      </c>
      <c r="E187" s="15">
        <f>4.41+0.93-0.025-0.025-0.022-0.046-0.005-0.118-0.027-0.018-0.037-0.25-0.005-0.003-0.009-0.057-0.033-0.016-0.024-0.003-0.012-0.06-0.006-0.012-0.019-0.023-0.005-0.004-0.025-0.049-0.005-0.169-0.031-0.024-0.043-0.003-0.021-0.003-0.021-0.024-0.05-0.042-0.004-0.006-0.011-0.009-0.078-0.007-0.049-0.19-0.007-0.012-0.002-0.007-0.009-0.007-0.037-0.025-0.022-0.023-0.096-0.036-0.034-0.003-0.019-0.002-0.012-0.092-0.025-0.003-0.114-0.004-0.055-0.31-0.025-0.72-0.009-0.19-0.003-0.05-0.242-0.184-0.022-0.003-0.085-0.011-0.025-0.027-0.022-0.15-0.019-0.023-0.025-0.002-0.019-0.013-0.013-0.076-0.183-0.022-0.009-0.008-0.017-0.009</f>
        <v>0.45000000000000029</v>
      </c>
      <c r="CC187" s="1"/>
      <c r="CD187" s="1"/>
      <c r="CE187" s="1"/>
      <c r="CF187" s="1"/>
      <c r="CG187" s="1"/>
      <c r="CH187" s="1"/>
    </row>
    <row r="188" spans="1:86" x14ac:dyDescent="0.3">
      <c r="A188" s="10">
        <v>34</v>
      </c>
      <c r="B188" s="10">
        <v>5</v>
      </c>
      <c r="C188" s="10">
        <v>35</v>
      </c>
      <c r="D188" s="10" t="s">
        <v>4</v>
      </c>
      <c r="E188" s="15">
        <f>2.27-0.036-0.172-0.119-0.355-0.017</f>
        <v>1.571</v>
      </c>
      <c r="CC188" s="1"/>
      <c r="CD188" s="1"/>
      <c r="CE188" s="1"/>
      <c r="CF188" s="1"/>
      <c r="CG188" s="1"/>
      <c r="CH188" s="1"/>
    </row>
    <row r="189" spans="1:86" x14ac:dyDescent="0.3">
      <c r="A189" s="8">
        <v>34</v>
      </c>
      <c r="B189" s="8">
        <v>5</v>
      </c>
      <c r="C189" s="8">
        <v>45</v>
      </c>
      <c r="D189" s="8" t="s">
        <v>4</v>
      </c>
      <c r="E189" s="9">
        <f>3.11+0.67-0.009-0.265-0.28-0.042-0.031-0.112-0.017-0.042-0.012-0.003-0.043-0.021-0.012-0.011-0.054</f>
        <v>2.8260000000000001</v>
      </c>
      <c r="CC189" s="1"/>
      <c r="CD189" s="1"/>
      <c r="CE189" s="1"/>
      <c r="CF189" s="1"/>
      <c r="CG189" s="1"/>
      <c r="CH189" s="1"/>
    </row>
    <row r="190" spans="1:86" x14ac:dyDescent="0.3">
      <c r="A190" s="10">
        <v>34</v>
      </c>
      <c r="B190" s="10">
        <v>5</v>
      </c>
      <c r="C190" s="10" t="s">
        <v>28</v>
      </c>
      <c r="D190" s="10" t="s">
        <v>4</v>
      </c>
      <c r="E190" s="15">
        <f>3.12+0.16-0.012-0.023-0.063-0.028-0.008-0.06-0.03-0.064-0.17-0.03-1.05-0.031-1.42-0.018</f>
        <v>0.27300000000000035</v>
      </c>
      <c r="CC190" s="1"/>
      <c r="CD190" s="1"/>
      <c r="CE190" s="1"/>
      <c r="CF190" s="1"/>
      <c r="CG190" s="1"/>
      <c r="CH190" s="1"/>
    </row>
    <row r="191" spans="1:86" x14ac:dyDescent="0.3">
      <c r="A191" s="10">
        <v>34</v>
      </c>
      <c r="B191" s="10">
        <v>5</v>
      </c>
      <c r="C191" s="10" t="s">
        <v>28</v>
      </c>
      <c r="D191" s="10" t="s">
        <v>4</v>
      </c>
      <c r="E191" s="15">
        <f>3.91+1.49</f>
        <v>5.4</v>
      </c>
      <c r="CC191" s="1"/>
      <c r="CD191" s="1"/>
      <c r="CE191" s="1"/>
      <c r="CF191" s="1"/>
      <c r="CG191" s="1"/>
      <c r="CH191" s="1"/>
    </row>
    <row r="192" spans="1:86" x14ac:dyDescent="0.3">
      <c r="A192" s="10">
        <v>34</v>
      </c>
      <c r="B192" s="10">
        <v>5</v>
      </c>
      <c r="C192" s="10" t="s">
        <v>30</v>
      </c>
      <c r="D192" s="10" t="s">
        <v>4</v>
      </c>
      <c r="E192" s="15">
        <f>1.07-0.024-0.041-0.057-0.125-0.009-0.129</f>
        <v>0.68500000000000005</v>
      </c>
      <c r="CC192" s="1"/>
      <c r="CD192" s="1"/>
      <c r="CE192" s="1"/>
      <c r="CF192" s="1"/>
      <c r="CG192" s="1"/>
      <c r="CH192" s="1"/>
    </row>
    <row r="193" spans="1:86" x14ac:dyDescent="0.3">
      <c r="A193" s="8">
        <v>34</v>
      </c>
      <c r="B193" s="8">
        <v>6</v>
      </c>
      <c r="C193" s="8" t="s">
        <v>30</v>
      </c>
      <c r="D193" s="8" t="s">
        <v>4</v>
      </c>
      <c r="E193" s="9">
        <f>3.24-0.044-0.028-0.039-0.024-0.008-0.135-0.065-0.11-1.04</f>
        <v>1.7469999999999999</v>
      </c>
      <c r="CC193" s="1"/>
      <c r="CD193" s="1"/>
      <c r="CE193" s="1"/>
      <c r="CF193" s="1"/>
      <c r="CG193" s="1"/>
      <c r="CH193" s="1"/>
    </row>
    <row r="194" spans="1:86" x14ac:dyDescent="0.3">
      <c r="A194" s="10">
        <v>34</v>
      </c>
      <c r="B194" s="10">
        <v>6.5</v>
      </c>
      <c r="C194" s="10">
        <v>20</v>
      </c>
      <c r="D194" s="10" t="s">
        <v>4</v>
      </c>
      <c r="E194" s="15">
        <f>0.78+0.134-0.042-0.005-0.043-0.052-0.003-0.047-0.042-0.046-0.07</f>
        <v>0.56399999999999983</v>
      </c>
      <c r="CC194" s="1"/>
      <c r="CD194" s="1"/>
      <c r="CE194" s="1"/>
      <c r="CF194" s="1"/>
      <c r="CG194" s="1"/>
      <c r="CH194" s="1"/>
    </row>
    <row r="195" spans="1:86" x14ac:dyDescent="0.3">
      <c r="A195" s="10">
        <v>34</v>
      </c>
      <c r="B195" s="10">
        <v>6.5</v>
      </c>
      <c r="C195" s="10" t="s">
        <v>26</v>
      </c>
      <c r="D195" s="10" t="s">
        <v>4</v>
      </c>
      <c r="E195" s="15">
        <f>1.55-0.049-0.011-0.009-0.048-0.143-0.006-0.046-0.044-0.005</f>
        <v>1.1890000000000003</v>
      </c>
      <c r="CC195" s="1"/>
      <c r="CD195" s="1"/>
      <c r="CE195" s="1"/>
      <c r="CF195" s="1"/>
      <c r="CG195" s="1"/>
      <c r="CH195" s="1"/>
    </row>
    <row r="196" spans="1:86" x14ac:dyDescent="0.3">
      <c r="A196" s="10">
        <v>34</v>
      </c>
      <c r="B196" s="10">
        <v>6.5</v>
      </c>
      <c r="C196" s="10" t="s">
        <v>30</v>
      </c>
      <c r="D196" s="10" t="s">
        <v>4</v>
      </c>
      <c r="E196" s="15">
        <f>0.72+0.34</f>
        <v>1.06</v>
      </c>
      <c r="CC196" s="1"/>
      <c r="CD196" s="1"/>
      <c r="CE196" s="1"/>
      <c r="CF196" s="1"/>
      <c r="CG196" s="1"/>
      <c r="CH196" s="1"/>
    </row>
    <row r="197" spans="1:86" x14ac:dyDescent="0.3">
      <c r="A197" s="10">
        <v>34</v>
      </c>
      <c r="B197" s="10">
        <v>8</v>
      </c>
      <c r="C197" s="10">
        <v>20</v>
      </c>
      <c r="D197" s="10" t="s">
        <v>4</v>
      </c>
      <c r="E197" s="15">
        <f>1.07-0.012-0.024-0.055-0.033-0.003-0.007-0.34-0.056-0.045-0.175-0.025-0.215</f>
        <v>7.9999999999999821E-2</v>
      </c>
      <c r="CC197" s="1"/>
      <c r="CD197" s="1"/>
      <c r="CE197" s="1"/>
      <c r="CF197" s="1"/>
      <c r="CG197" s="1"/>
      <c r="CH197" s="1"/>
    </row>
    <row r="198" spans="1:86" x14ac:dyDescent="0.3">
      <c r="A198" s="10">
        <v>34</v>
      </c>
      <c r="B198" s="10">
        <v>8</v>
      </c>
      <c r="C198" s="10" t="s">
        <v>26</v>
      </c>
      <c r="D198" s="10" t="s">
        <v>4</v>
      </c>
      <c r="E198" s="15">
        <f>1.02-0.22-0.13-0.007-0.006-0.049-0.048-0.022-0.15-0.05-0.027-0.004-0.27+0.1-0.018-0.004-0.015-0.027-0.022-0.004</f>
        <v>4.6999999999999875E-2</v>
      </c>
      <c r="CC198" s="1"/>
      <c r="CD198" s="1"/>
      <c r="CE198" s="1"/>
      <c r="CF198" s="1"/>
      <c r="CG198" s="1"/>
      <c r="CH198" s="1"/>
    </row>
    <row r="199" spans="1:86" x14ac:dyDescent="0.3">
      <c r="A199" s="10">
        <v>34</v>
      </c>
      <c r="B199" s="10">
        <v>8</v>
      </c>
      <c r="C199" s="10" t="s">
        <v>26</v>
      </c>
      <c r="D199" s="10" t="s">
        <v>4</v>
      </c>
      <c r="E199" s="15">
        <f>0.99-0.012-0.065-0.004-0.066-0.018-0.06</f>
        <v>0.7649999999999999</v>
      </c>
      <c r="CC199" s="1"/>
      <c r="CD199" s="1"/>
      <c r="CE199" s="1"/>
      <c r="CF199" s="1"/>
      <c r="CG199" s="1"/>
      <c r="CH199" s="1"/>
    </row>
    <row r="200" spans="1:86" x14ac:dyDescent="0.3">
      <c r="A200" s="10">
        <v>35</v>
      </c>
      <c r="B200" s="10">
        <v>3</v>
      </c>
      <c r="C200" s="10" t="s">
        <v>26</v>
      </c>
      <c r="D200" s="10" t="s">
        <v>4</v>
      </c>
      <c r="E200" s="15">
        <f>1.08-0.04-0.014-0.045-0.008-0.028-0.002-0.052-0.046-0.007-0.014-0.075-0.006-0.026-0.003-0.119-0.014-0.008-0.017-0.034-0.023-0.003-0.026</f>
        <v>0.46999999999999975</v>
      </c>
      <c r="CC200" s="1"/>
      <c r="CD200" s="1"/>
      <c r="CE200" s="1"/>
      <c r="CF200" s="1"/>
      <c r="CG200" s="1"/>
      <c r="CH200" s="1"/>
    </row>
    <row r="201" spans="1:86" x14ac:dyDescent="0.3">
      <c r="A201" s="10">
        <v>35</v>
      </c>
      <c r="B201" s="10">
        <v>5</v>
      </c>
      <c r="C201" s="10">
        <v>20</v>
      </c>
      <c r="D201" s="10" t="s">
        <v>4</v>
      </c>
      <c r="E201" s="15">
        <f>0.49-0.021-0.042-0.005-0.013+0.56-0.013-0.013-0.042-0.034-0.026-0.013-0.015-0.032-0.034-0.034-0.009-0.005-0.035-0.031-0.022-0.003-0.032-0.005-0.013-0.005-0.033-0.002-0.029-0.013-0.011-0.006-0.031</f>
        <v>0.4279999999999996</v>
      </c>
      <c r="CC201" s="1"/>
      <c r="CD201" s="1"/>
      <c r="CE201" s="1"/>
      <c r="CF201" s="1"/>
      <c r="CG201" s="1"/>
      <c r="CH201" s="1"/>
    </row>
    <row r="202" spans="1:86" x14ac:dyDescent="0.3">
      <c r="A202" s="10">
        <v>35</v>
      </c>
      <c r="B202" s="10">
        <v>5</v>
      </c>
      <c r="C202" s="10">
        <v>20</v>
      </c>
      <c r="D202" s="10" t="s">
        <v>32</v>
      </c>
      <c r="E202" s="15">
        <v>3.5000000000000003E-2</v>
      </c>
      <c r="CC202" s="1"/>
      <c r="CD202" s="1"/>
      <c r="CE202" s="1"/>
      <c r="CF202" s="1"/>
      <c r="CG202" s="1"/>
      <c r="CH202" s="1"/>
    </row>
    <row r="203" spans="1:86" x14ac:dyDescent="0.3">
      <c r="A203" s="10">
        <v>35</v>
      </c>
      <c r="B203" s="10">
        <v>5</v>
      </c>
      <c r="C203" s="10" t="s">
        <v>26</v>
      </c>
      <c r="D203" s="10" t="s">
        <v>4</v>
      </c>
      <c r="E203" s="15">
        <f>2.15-0.005-0.083-0.083-0.032-0.041-0.005-0.036-0.008-0.034-0.03</f>
        <v>1.7929999999999999</v>
      </c>
      <c r="CC203" s="1"/>
      <c r="CD203" s="1"/>
      <c r="CE203" s="1"/>
      <c r="CF203" s="1"/>
      <c r="CG203" s="1"/>
      <c r="CH203" s="1"/>
    </row>
    <row r="204" spans="1:86" x14ac:dyDescent="0.3">
      <c r="A204" s="10">
        <v>35</v>
      </c>
      <c r="B204" s="10">
        <v>6.5</v>
      </c>
      <c r="C204" s="10">
        <v>20</v>
      </c>
      <c r="D204" s="10" t="s">
        <v>4</v>
      </c>
      <c r="E204" s="15">
        <f>1-0.004-0.045-0.037-0.42-0.008-0.033-0.031</f>
        <v>0.42199999999999993</v>
      </c>
      <c r="CC204" s="1"/>
      <c r="CD204" s="1"/>
      <c r="CE204" s="1"/>
      <c r="CF204" s="1"/>
      <c r="CG204" s="1"/>
      <c r="CH204" s="1"/>
    </row>
    <row r="205" spans="1:86" x14ac:dyDescent="0.3">
      <c r="A205" s="10">
        <v>35</v>
      </c>
      <c r="B205" s="10">
        <v>6.5</v>
      </c>
      <c r="C205" s="10" t="s">
        <v>26</v>
      </c>
      <c r="D205" s="10" t="s">
        <v>4</v>
      </c>
      <c r="E205" s="15">
        <f>1.08-0.185-0.05-0.015-0.052</f>
        <v>0.77799999999999991</v>
      </c>
      <c r="CC205" s="1"/>
      <c r="CD205" s="1"/>
      <c r="CE205" s="1"/>
      <c r="CF205" s="1"/>
      <c r="CG205" s="1"/>
      <c r="CH205" s="1"/>
    </row>
    <row r="206" spans="1:86" x14ac:dyDescent="0.3">
      <c r="A206" s="10">
        <v>35</v>
      </c>
      <c r="B206" s="10">
        <v>8</v>
      </c>
      <c r="C206" s="10">
        <v>20</v>
      </c>
      <c r="D206" s="10" t="s">
        <v>4</v>
      </c>
      <c r="E206" s="15">
        <f>1.04-0.012+0.99-0.015-0.018-0.019-0.018-0.024-0.124-0.007</f>
        <v>1.7929999999999999</v>
      </c>
      <c r="CC206" s="1"/>
      <c r="CD206" s="1"/>
      <c r="CE206" s="1"/>
      <c r="CF206" s="1"/>
      <c r="CG206" s="1"/>
      <c r="CH206" s="1"/>
    </row>
    <row r="207" spans="1:86" x14ac:dyDescent="0.3">
      <c r="A207" s="10">
        <v>35</v>
      </c>
      <c r="B207" s="10">
        <v>8</v>
      </c>
      <c r="C207" s="10" t="s">
        <v>26</v>
      </c>
      <c r="D207" s="10" t="s">
        <v>4</v>
      </c>
      <c r="E207" s="15">
        <f>1.08-0.057-0.47</f>
        <v>0.55300000000000016</v>
      </c>
      <c r="CC207" s="1"/>
      <c r="CD207" s="1"/>
      <c r="CE207" s="1"/>
      <c r="CF207" s="1"/>
      <c r="CG207" s="1"/>
      <c r="CH207" s="1"/>
    </row>
    <row r="208" spans="1:86" x14ac:dyDescent="0.3">
      <c r="A208" s="10">
        <v>36</v>
      </c>
      <c r="B208" s="10">
        <v>3</v>
      </c>
      <c r="C208" s="10">
        <v>20</v>
      </c>
      <c r="D208" s="10" t="s">
        <v>4</v>
      </c>
      <c r="E208" s="15">
        <f>0.73-0.04-0.05-0.002-0.003-0.252-0.22-0.101-0.019-0.002-0.006</f>
        <v>3.4999999999999885E-2</v>
      </c>
      <c r="CC208" s="1"/>
      <c r="CD208" s="1"/>
      <c r="CE208" s="1"/>
      <c r="CF208" s="1"/>
      <c r="CG208" s="1"/>
      <c r="CH208" s="1"/>
    </row>
    <row r="209" spans="1:86" x14ac:dyDescent="0.3">
      <c r="A209" s="10">
        <v>36</v>
      </c>
      <c r="B209" s="10">
        <v>3</v>
      </c>
      <c r="C209" s="10" t="s">
        <v>26</v>
      </c>
      <c r="D209" s="10" t="s">
        <v>4</v>
      </c>
      <c r="E209" s="15">
        <f>3.13-0.14-0.162-0.11-0.27-0.046-0.029-0.175-0.02-0.028-0.067-0.036-0.059-0.112-0.012-0.037-0.16-0.019-0.111-0.004-0.77-0.155-0.7+0.15-0.005</f>
        <v>5.3000000000000359E-2</v>
      </c>
      <c r="CC209" s="1"/>
      <c r="CD209" s="1"/>
      <c r="CE209" s="1"/>
      <c r="CF209" s="1"/>
      <c r="CG209" s="1"/>
      <c r="CH209" s="1"/>
    </row>
    <row r="210" spans="1:86" x14ac:dyDescent="0.3">
      <c r="A210" s="10">
        <v>36</v>
      </c>
      <c r="B210" s="10">
        <v>3</v>
      </c>
      <c r="C210" s="10" t="s">
        <v>26</v>
      </c>
      <c r="D210" s="10" t="s">
        <v>4</v>
      </c>
      <c r="E210" s="15">
        <f>0.7+0.005-0.009-0.005-0.003-0.018-0.045-0.019-0.13+1.08-0.028-0.12-0.034-0.114-0.003-0.039-0.026-0.003-0.073-0.095-0.35-0.19-0.54+0.2</f>
        <v>0.14100000000000013</v>
      </c>
      <c r="CC210" s="1"/>
      <c r="CD210" s="1"/>
      <c r="CE210" s="1"/>
      <c r="CF210" s="1"/>
      <c r="CG210" s="1"/>
      <c r="CH210" s="1"/>
    </row>
    <row r="211" spans="1:86" x14ac:dyDescent="0.3">
      <c r="A211" s="10">
        <v>36</v>
      </c>
      <c r="B211" s="10">
        <v>3</v>
      </c>
      <c r="C211" s="10" t="s">
        <v>28</v>
      </c>
      <c r="D211" s="10" t="s">
        <v>4</v>
      </c>
      <c r="E211" s="15">
        <f>3.14-0.003-0.019-0.021-0.023-0.041-0.044-0.044-0.009-0.059+0.043-0.25-0.14-0.125-0.023-0.01-0.014-0.022-0.023-0.023-0.023-0.021-0.006-0.014-0.102-0.023-0.033</f>
        <v>2.0680000000000005</v>
      </c>
      <c r="CC211" s="1"/>
      <c r="CD211" s="1"/>
      <c r="CE211" s="1"/>
      <c r="CF211" s="1"/>
      <c r="CG211" s="1"/>
      <c r="CH211" s="1"/>
    </row>
    <row r="212" spans="1:86" x14ac:dyDescent="0.3">
      <c r="A212" s="10">
        <v>36</v>
      </c>
      <c r="B212" s="10">
        <v>3</v>
      </c>
      <c r="C212" s="10" t="s">
        <v>30</v>
      </c>
      <c r="D212" s="10" t="s">
        <v>4</v>
      </c>
      <c r="E212" s="15">
        <f>0.65+0.42+0.52</f>
        <v>1.59</v>
      </c>
      <c r="CC212" s="1"/>
      <c r="CD212" s="1"/>
      <c r="CE212" s="1"/>
      <c r="CF212" s="1"/>
      <c r="CG212" s="1"/>
      <c r="CH212" s="1"/>
    </row>
    <row r="213" spans="1:86" x14ac:dyDescent="0.3">
      <c r="A213" s="13">
        <v>36</v>
      </c>
      <c r="B213" s="13">
        <v>5</v>
      </c>
      <c r="C213" s="13">
        <v>20</v>
      </c>
      <c r="D213" s="13" t="s">
        <v>1</v>
      </c>
      <c r="E213" s="16">
        <f>1.1-0.08-0.02-0.019-0.011-0.04-0.11-0.039-0.031-0.175-0.179+0.029-0.049-0.039-0.006-0.043-0.007-0.011-0.126-0.013-0.019-0.006-0.01-0.004-0.033</f>
        <v>5.8999999999999997E-2</v>
      </c>
      <c r="CC213" s="1"/>
      <c r="CD213" s="1"/>
      <c r="CE213" s="1"/>
      <c r="CF213" s="1"/>
      <c r="CG213" s="1"/>
      <c r="CH213" s="1"/>
    </row>
    <row r="214" spans="1:86" x14ac:dyDescent="0.3">
      <c r="A214" s="10">
        <v>36</v>
      </c>
      <c r="B214" s="10">
        <v>5</v>
      </c>
      <c r="C214" s="10">
        <v>20</v>
      </c>
      <c r="D214" s="10" t="s">
        <v>4</v>
      </c>
      <c r="E214" s="15">
        <f>1.07-0.026-0.006-0.008</f>
        <v>1.03</v>
      </c>
      <c r="CC214" s="1"/>
      <c r="CD214" s="1"/>
      <c r="CE214" s="1"/>
      <c r="CF214" s="1"/>
      <c r="CG214" s="1"/>
      <c r="CH214" s="1"/>
    </row>
    <row r="215" spans="1:86" x14ac:dyDescent="0.3">
      <c r="A215" s="8">
        <v>36</v>
      </c>
      <c r="B215" s="8">
        <v>5</v>
      </c>
      <c r="C215" s="8" t="s">
        <v>26</v>
      </c>
      <c r="D215" s="8" t="s">
        <v>4</v>
      </c>
      <c r="E215" s="9">
        <f>2.74-0.036+0.26-0.005-0.039-0.075-0.011-0.01-0.015-0.005-0.018-0.15-0.005-0.039-0.039-0.009-0.037-0.02-0.038-0.003-0.005-0.073-0.037</f>
        <v>2.3310000000000008</v>
      </c>
      <c r="CC215" s="1"/>
      <c r="CD215" s="1"/>
      <c r="CE215" s="1"/>
      <c r="CF215" s="1"/>
      <c r="CG215" s="1"/>
      <c r="CH215" s="1"/>
    </row>
    <row r="216" spans="1:86" x14ac:dyDescent="0.3">
      <c r="A216" s="10">
        <v>36</v>
      </c>
      <c r="B216" s="10">
        <v>5</v>
      </c>
      <c r="C216" s="10">
        <v>35</v>
      </c>
      <c r="D216" s="10" t="s">
        <v>4</v>
      </c>
      <c r="E216" s="15">
        <f>0.63+1.23-0.021-0.96-0.068-0.21-0.025-0.026-0.05</f>
        <v>0.49999999999999994</v>
      </c>
      <c r="CC216" s="1"/>
      <c r="CD216" s="1"/>
      <c r="CE216" s="1"/>
      <c r="CF216" s="1"/>
      <c r="CG216" s="1"/>
      <c r="CH216" s="1"/>
    </row>
    <row r="217" spans="1:86" ht="16.5" customHeight="1" x14ac:dyDescent="0.3">
      <c r="A217" s="8">
        <v>36</v>
      </c>
      <c r="B217" s="8">
        <v>5</v>
      </c>
      <c r="C217" s="8" t="s">
        <v>28</v>
      </c>
      <c r="D217" s="8" t="s">
        <v>4</v>
      </c>
      <c r="E217" s="9">
        <v>5</v>
      </c>
      <c r="CC217" s="1"/>
      <c r="CD217" s="1"/>
      <c r="CE217" s="1"/>
      <c r="CF217" s="1"/>
      <c r="CG217" s="1"/>
      <c r="CH217" s="1"/>
    </row>
    <row r="218" spans="1:86" ht="16.5" customHeight="1" x14ac:dyDescent="0.3">
      <c r="A218" s="10">
        <v>36</v>
      </c>
      <c r="B218" s="10">
        <v>5</v>
      </c>
      <c r="C218" s="10" t="s">
        <v>30</v>
      </c>
      <c r="D218" s="10" t="s">
        <v>4</v>
      </c>
      <c r="E218" s="15">
        <f>3.24-0.459-0.042-0.013-0.005-0.08-0.101-0.019-0.55-0.08-0.005-0.021-0.08</f>
        <v>1.7850000000000004</v>
      </c>
      <c r="CC218" s="1"/>
      <c r="CD218" s="1"/>
      <c r="CE218" s="1"/>
      <c r="CF218" s="1"/>
      <c r="CG218" s="1"/>
      <c r="CH218" s="1"/>
    </row>
    <row r="219" spans="1:86" ht="16.5" customHeight="1" x14ac:dyDescent="0.3">
      <c r="A219" s="10">
        <v>36</v>
      </c>
      <c r="B219" s="10">
        <v>5.5</v>
      </c>
      <c r="C219" s="10" t="s">
        <v>30</v>
      </c>
      <c r="D219" s="10" t="s">
        <v>4</v>
      </c>
      <c r="E219" s="15">
        <f>1.07-0.32</f>
        <v>0.75</v>
      </c>
      <c r="CC219" s="1"/>
      <c r="CD219" s="1"/>
      <c r="CE219" s="1"/>
      <c r="CF219" s="1"/>
      <c r="CG219" s="1"/>
      <c r="CH219" s="1"/>
    </row>
    <row r="220" spans="1:86" ht="16.5" customHeight="1" x14ac:dyDescent="0.3">
      <c r="A220" s="10">
        <v>36</v>
      </c>
      <c r="B220" s="10">
        <v>6</v>
      </c>
      <c r="C220" s="10">
        <v>20</v>
      </c>
      <c r="D220" s="10" t="s">
        <v>4</v>
      </c>
      <c r="E220" s="15">
        <f>1.07-0.084-0.027-0.026-0.028-0.026-0.024-0.009-0.05-0.053-0.04-0.051-0.056-0.006-0.025-0.07-0.01-0.026-0.204</f>
        <v>0.25499999999999967</v>
      </c>
      <c r="CC220" s="1"/>
      <c r="CD220" s="1"/>
      <c r="CE220" s="1"/>
      <c r="CF220" s="1"/>
      <c r="CG220" s="1"/>
      <c r="CH220" s="1"/>
    </row>
    <row r="221" spans="1:86" ht="16.5" customHeight="1" x14ac:dyDescent="0.3">
      <c r="A221" s="8">
        <v>36</v>
      </c>
      <c r="B221" s="8">
        <v>7</v>
      </c>
      <c r="C221" s="8" t="s">
        <v>30</v>
      </c>
      <c r="D221" s="8" t="s">
        <v>1</v>
      </c>
      <c r="E221" s="9">
        <v>2</v>
      </c>
      <c r="CC221" s="1"/>
      <c r="CD221" s="1"/>
      <c r="CE221" s="1"/>
      <c r="CF221" s="1"/>
      <c r="CG221" s="1"/>
      <c r="CH221" s="1"/>
    </row>
    <row r="222" spans="1:86" ht="16.5" customHeight="1" x14ac:dyDescent="0.3">
      <c r="A222" s="10">
        <v>36</v>
      </c>
      <c r="B222" s="10">
        <v>8</v>
      </c>
      <c r="C222" s="10">
        <v>20</v>
      </c>
      <c r="D222" s="10" t="s">
        <v>4</v>
      </c>
      <c r="E222" s="15">
        <f>0.84+0.02+0.79-0.037-0.066-0.02+1.35-0.132-0.06-0.064-0.095</f>
        <v>2.5259999999999994</v>
      </c>
      <c r="CC222" s="1"/>
      <c r="CD222" s="1"/>
      <c r="CE222" s="1"/>
      <c r="CF222" s="1"/>
      <c r="CG222" s="1"/>
      <c r="CH222" s="1"/>
    </row>
    <row r="223" spans="1:86" ht="16.5" customHeight="1" x14ac:dyDescent="0.3">
      <c r="A223" s="10">
        <v>36</v>
      </c>
      <c r="B223" s="10">
        <v>8</v>
      </c>
      <c r="C223" s="10" t="s">
        <v>26</v>
      </c>
      <c r="D223" s="10" t="s">
        <v>4</v>
      </c>
      <c r="E223" s="15">
        <f>3.02-0.037-0.097-0.009-0.033-0.037-0.175-0.015-0.009-0.037-0.039-0.007-0.012-0.075-0.08-0.041-0.003-0.038-0.007-0.047-0.98-0.03-0.039-0.014-0.01-0.072-0.135-0.034-0.036-0.008-0.025-0.013-0.399-0.207-0.004-0.002-0.009-0.005-0.004</f>
        <v>0.19599999999999981</v>
      </c>
      <c r="CC223" s="1"/>
      <c r="CD223" s="1"/>
      <c r="CE223" s="1"/>
      <c r="CF223" s="1"/>
      <c r="CG223" s="1"/>
      <c r="CH223" s="1"/>
    </row>
    <row r="224" spans="1:86" x14ac:dyDescent="0.3">
      <c r="A224" s="10">
        <v>36</v>
      </c>
      <c r="B224" s="10">
        <v>8</v>
      </c>
      <c r="C224" s="10" t="s">
        <v>28</v>
      </c>
      <c r="D224" s="10" t="s">
        <v>4</v>
      </c>
      <c r="E224" s="15">
        <f>3.15-0.037-0.196-0.074-0.25-0.039-0.018-0.073-0.041-0.58-0.012-0.005-0.313-0.018-0.29-0.15-0.19-0.007-0.007-0.013-0.009-0.17-0.188-0.092-0.288-0.192+0.18-0.003</f>
        <v>7.5000000000000233E-2</v>
      </c>
      <c r="CC224" s="1"/>
      <c r="CD224" s="1"/>
      <c r="CE224" s="1"/>
      <c r="CF224" s="1"/>
      <c r="CG224" s="1"/>
      <c r="CH224" s="1"/>
    </row>
    <row r="225" spans="1:86" x14ac:dyDescent="0.3">
      <c r="A225" s="10">
        <v>36</v>
      </c>
      <c r="B225" s="10">
        <v>8</v>
      </c>
      <c r="C225" s="10" t="s">
        <v>28</v>
      </c>
      <c r="D225" s="10" t="s">
        <v>4</v>
      </c>
      <c r="E225" s="15">
        <f>1.16-0.034+2.04-0.148-0.013-0.1-0.067-0.037-0.007+0.003-0.004-0.24-0.42-0.237-0.004-0.016-0.019-0.048-0.237-0.206-0.031-0.46-0.006-0.048-0.036-0.073-0.03</f>
        <v>0.68200000000000016</v>
      </c>
      <c r="CC225" s="1"/>
      <c r="CD225" s="1"/>
      <c r="CE225" s="1"/>
      <c r="CF225" s="1"/>
      <c r="CG225" s="1"/>
      <c r="CH225" s="1"/>
    </row>
    <row r="226" spans="1:86" x14ac:dyDescent="0.3">
      <c r="A226" s="8">
        <v>36</v>
      </c>
      <c r="B226" s="8">
        <v>8</v>
      </c>
      <c r="C226" s="8" t="s">
        <v>30</v>
      </c>
      <c r="D226" s="8" t="s">
        <v>1</v>
      </c>
      <c r="E226" s="9">
        <v>5</v>
      </c>
      <c r="CC226" s="1"/>
      <c r="CD226" s="1"/>
      <c r="CE226" s="1"/>
      <c r="CF226" s="1"/>
      <c r="CG226" s="1"/>
      <c r="CH226" s="1"/>
    </row>
    <row r="227" spans="1:86" x14ac:dyDescent="0.3">
      <c r="A227" s="10">
        <v>36</v>
      </c>
      <c r="B227" s="10">
        <v>10</v>
      </c>
      <c r="C227" s="10">
        <v>20</v>
      </c>
      <c r="D227" s="10" t="s">
        <v>4</v>
      </c>
      <c r="E227" s="15">
        <v>2.61</v>
      </c>
      <c r="CC227" s="1"/>
      <c r="CD227" s="1"/>
      <c r="CE227" s="1"/>
      <c r="CF227" s="1"/>
      <c r="CG227" s="1"/>
      <c r="CH227" s="1"/>
    </row>
    <row r="228" spans="1:86" x14ac:dyDescent="0.3">
      <c r="A228" s="10">
        <v>36</v>
      </c>
      <c r="B228" s="10">
        <v>10</v>
      </c>
      <c r="C228" s="10">
        <v>20</v>
      </c>
      <c r="D228" s="10" t="s">
        <v>4</v>
      </c>
      <c r="E228" s="15">
        <f>3-2.61</f>
        <v>0.39000000000000012</v>
      </c>
      <c r="CC228" s="1"/>
      <c r="CD228" s="1"/>
      <c r="CE228" s="1"/>
      <c r="CF228" s="1"/>
      <c r="CG228" s="1"/>
      <c r="CH228" s="1"/>
    </row>
    <row r="229" spans="1:86" x14ac:dyDescent="0.3">
      <c r="A229" s="8">
        <v>36</v>
      </c>
      <c r="B229" s="8">
        <v>10</v>
      </c>
      <c r="C229" s="8" t="s">
        <v>26</v>
      </c>
      <c r="D229" s="8" t="s">
        <v>4</v>
      </c>
      <c r="E229" s="9">
        <f>2.24+0.98-0.051-0.225-0.115-0.12-0.041-0.108-0.046-0.055-0.055-0.115-0.056-0.064-0.008-0.283-0.057-0.011-0.004</f>
        <v>1.8059999999999994</v>
      </c>
      <c r="CC229" s="1"/>
      <c r="CD229" s="1"/>
      <c r="CE229" s="1"/>
      <c r="CF229" s="1"/>
      <c r="CG229" s="1"/>
      <c r="CH229" s="1"/>
    </row>
    <row r="230" spans="1:86" x14ac:dyDescent="0.3">
      <c r="A230" s="10">
        <v>38</v>
      </c>
      <c r="B230" s="10">
        <v>1.5</v>
      </c>
      <c r="C230" s="10" t="s">
        <v>28</v>
      </c>
      <c r="D230" s="10" t="s">
        <v>4</v>
      </c>
      <c r="E230" s="15">
        <f>0.5-0.07-0.28-0.08-0.01-0.045+0.05-0.038</f>
        <v>2.6999999999999975E-2</v>
      </c>
      <c r="CC230" s="1"/>
      <c r="CD230" s="1"/>
      <c r="CE230" s="1"/>
      <c r="CF230" s="1"/>
      <c r="CG230" s="1"/>
      <c r="CH230" s="1"/>
    </row>
    <row r="231" spans="1:86" x14ac:dyDescent="0.3">
      <c r="A231" s="10">
        <v>38</v>
      </c>
      <c r="B231" s="10">
        <v>2.5</v>
      </c>
      <c r="C231" s="10">
        <v>20</v>
      </c>
      <c r="D231" s="10" t="s">
        <v>4</v>
      </c>
      <c r="E231" s="15">
        <f>1.62-0.13-0.057-0.023</f>
        <v>1.4100000000000004</v>
      </c>
      <c r="CC231" s="1"/>
      <c r="CD231" s="1"/>
      <c r="CE231" s="1"/>
      <c r="CF231" s="1"/>
      <c r="CG231" s="1"/>
      <c r="CH231" s="1"/>
    </row>
    <row r="232" spans="1:86" x14ac:dyDescent="0.3">
      <c r="A232" s="10">
        <v>38</v>
      </c>
      <c r="B232" s="10">
        <v>2.5</v>
      </c>
      <c r="C232" s="10" t="s">
        <v>26</v>
      </c>
      <c r="D232" s="10" t="s">
        <v>4</v>
      </c>
      <c r="E232" s="15">
        <f>1-0.003-0.026-0.014-0.028-0.001-0.006-0.052-0.058-0.009-0.021-0.014-0.009-0.003-0.017-0.017</f>
        <v>0.72199999999999975</v>
      </c>
      <c r="CC232" s="1"/>
      <c r="CD232" s="1"/>
      <c r="CE232" s="1"/>
      <c r="CF232" s="1"/>
      <c r="CG232" s="1"/>
      <c r="CH232" s="1"/>
    </row>
    <row r="233" spans="1:86" x14ac:dyDescent="0.3">
      <c r="A233" s="10">
        <v>38</v>
      </c>
      <c r="B233" s="10">
        <v>3</v>
      </c>
      <c r="C233" s="10">
        <v>20</v>
      </c>
      <c r="D233" s="10" t="s">
        <v>4</v>
      </c>
      <c r="E233" s="15">
        <f>3.07-0.004-0.003-0.13-0.036-0.018-0.171-0.003-0.006-0.006-0.003-0.016-0.002-0.034-0.25-0.002-2.53+0.45-0.008-0.005-0.015</f>
        <v>0.27800000000000119</v>
      </c>
      <c r="CC233" s="1"/>
      <c r="CD233" s="1"/>
      <c r="CE233" s="1"/>
      <c r="CF233" s="1"/>
      <c r="CG233" s="1"/>
      <c r="CH233" s="1"/>
    </row>
    <row r="234" spans="1:86" x14ac:dyDescent="0.3">
      <c r="A234" s="10">
        <v>38</v>
      </c>
      <c r="B234" s="10">
        <v>3</v>
      </c>
      <c r="C234" s="10">
        <v>20</v>
      </c>
      <c r="D234" s="10" t="s">
        <v>4</v>
      </c>
      <c r="E234" s="15">
        <f>2.53-0.006-0.052-0.018+0.005-0.125-0.027-0.15-0.018-0.103-0.069-0.017-0.018-0.144+0.015-0.008-0.018-0.035-0.018-0.007-0.034-0.095-0.085-0.068-0.171-0.004-0.17-0.003-0.004-0.004-0.017-0.035-0.002-0.204-0.017-0.012-0.004-0.003-0.171-0.016-0.006-0.019-0.005-0.002-0.009</f>
        <v>0.55700000000000049</v>
      </c>
      <c r="CC234" s="1"/>
      <c r="CD234" s="1"/>
      <c r="CE234" s="1"/>
      <c r="CF234" s="1"/>
      <c r="CG234" s="1"/>
      <c r="CH234" s="1"/>
    </row>
    <row r="235" spans="1:86" x14ac:dyDescent="0.3">
      <c r="A235" s="10">
        <v>38</v>
      </c>
      <c r="B235" s="10">
        <v>3</v>
      </c>
      <c r="C235" s="10">
        <v>20</v>
      </c>
      <c r="D235" s="10" t="s">
        <v>4</v>
      </c>
      <c r="E235" s="15">
        <v>0.02</v>
      </c>
      <c r="CC235" s="1"/>
      <c r="CD235" s="1"/>
      <c r="CE235" s="1"/>
      <c r="CF235" s="1"/>
      <c r="CG235" s="1"/>
      <c r="CH235" s="1"/>
    </row>
    <row r="236" spans="1:86" x14ac:dyDescent="0.3">
      <c r="A236" s="10">
        <v>38</v>
      </c>
      <c r="B236" s="10">
        <v>3</v>
      </c>
      <c r="C236" s="10">
        <v>20</v>
      </c>
      <c r="D236" s="10" t="s">
        <v>8</v>
      </c>
      <c r="E236" s="15">
        <f>1.96-1.5-0.002-0.027-0.015-0.082-0.054-0.054-0.055-0.081-0.027-0.081+0.082-0.027-0.002-0.004-0.006+0.002</f>
        <v>2.6999999999999934E-2</v>
      </c>
      <c r="CC236" s="1"/>
      <c r="CD236" s="1"/>
      <c r="CE236" s="1"/>
      <c r="CF236" s="1"/>
      <c r="CG236" s="1"/>
      <c r="CH236" s="1"/>
    </row>
    <row r="237" spans="1:86" x14ac:dyDescent="0.3">
      <c r="A237" s="10">
        <v>38</v>
      </c>
      <c r="B237" s="10">
        <v>3</v>
      </c>
      <c r="C237" s="10" t="s">
        <v>26</v>
      </c>
      <c r="D237" s="10" t="s">
        <v>4</v>
      </c>
      <c r="E237" s="15">
        <f>1.69+1.97-0.02-0.029-0.051-0.002-0.029-0.004-0.029-0.009-0.001-0.006-0.01-0.02-0.004-0.003-0.001-0.015-0.009-0.004-0.029-0.014-0.019-0.345-0.013-0.005-0.205-0.006-0.001-0.004-0.055-0.006-0.004-0.004-0.007-0.006-0.038-0.04-0.076-0.013-0.006-0.015-0.002-0.006-0.006-0.02-0.002-0.003-0.106-0.004-0.006-0.115-0.53-0.027-0.004-0.029-0.021-0.038-0.168-0.002-0.009-0.007-0.003-0.029-0.006-0.019-0.004-0.004-0.006</f>
        <v>1.327000000000004</v>
      </c>
      <c r="CC237" s="1"/>
      <c r="CD237" s="1"/>
      <c r="CE237" s="1"/>
      <c r="CF237" s="1"/>
      <c r="CG237" s="1"/>
      <c r="CH237" s="1"/>
    </row>
    <row r="238" spans="1:86" x14ac:dyDescent="0.3">
      <c r="A238" s="10">
        <v>38</v>
      </c>
      <c r="B238" s="10">
        <v>3</v>
      </c>
      <c r="C238" s="10" t="s">
        <v>28</v>
      </c>
      <c r="D238" s="10" t="s">
        <v>4</v>
      </c>
      <c r="E238" s="15">
        <f>2.62-0.061-0.045-0.5-0.06-0.06+0.052-0.119-0.023-0.46-0.021-0.021-0.042-0.045-0.05-0.023-0.005-0.043-0.006</f>
        <v>1.0880000000000007</v>
      </c>
      <c r="CC238" s="1"/>
      <c r="CD238" s="1"/>
      <c r="CE238" s="1"/>
      <c r="CF238" s="1"/>
      <c r="CG238" s="1"/>
      <c r="CH238" s="1"/>
    </row>
    <row r="239" spans="1:86" x14ac:dyDescent="0.3">
      <c r="A239" s="13">
        <v>38</v>
      </c>
      <c r="B239" s="13">
        <v>3.5</v>
      </c>
      <c r="C239" s="13">
        <v>20</v>
      </c>
      <c r="D239" s="13" t="s">
        <v>1</v>
      </c>
      <c r="E239" s="16">
        <f>0.074+0.03+0.008-0.025-0.025-0.03-0.008-0.007-0.004-0.01-0.003+0.004</f>
        <v>3.999999999999994E-3</v>
      </c>
      <c r="CC239" s="1"/>
      <c r="CD239" s="1"/>
      <c r="CE239" s="1"/>
      <c r="CF239" s="1"/>
      <c r="CG239" s="1"/>
      <c r="CH239" s="1"/>
    </row>
    <row r="240" spans="1:86" x14ac:dyDescent="0.3">
      <c r="A240" s="10">
        <v>38</v>
      </c>
      <c r="B240" s="10">
        <v>3.5</v>
      </c>
      <c r="C240" s="10">
        <v>20</v>
      </c>
      <c r="D240" s="10" t="s">
        <v>1</v>
      </c>
      <c r="E240" s="15">
        <f>0.01-0.003</f>
        <v>7.0000000000000001E-3</v>
      </c>
      <c r="CC240" s="1"/>
      <c r="CD240" s="1"/>
      <c r="CE240" s="1"/>
      <c r="CF240" s="1"/>
      <c r="CG240" s="1"/>
      <c r="CH240" s="1"/>
    </row>
    <row r="241" spans="1:86" x14ac:dyDescent="0.3">
      <c r="A241" s="10">
        <v>38</v>
      </c>
      <c r="B241" s="10">
        <v>3.5</v>
      </c>
      <c r="C241" s="10">
        <v>20</v>
      </c>
      <c r="D241" s="10" t="s">
        <v>4</v>
      </c>
      <c r="E241" s="15">
        <v>1.05</v>
      </c>
      <c r="CC241" s="1"/>
      <c r="CD241" s="1"/>
      <c r="CE241" s="1"/>
      <c r="CF241" s="1"/>
      <c r="CG241" s="1"/>
      <c r="CH241" s="1"/>
    </row>
    <row r="242" spans="1:86" x14ac:dyDescent="0.3">
      <c r="A242" s="10">
        <v>38</v>
      </c>
      <c r="B242" s="10">
        <v>4</v>
      </c>
      <c r="C242" s="10">
        <v>20</v>
      </c>
      <c r="D242" s="10" t="s">
        <v>1</v>
      </c>
      <c r="E242" s="15">
        <f>2.14-0.041-0.075-0.012-0.163-0.124-0.165-0.041-0.012-0.026-0.004-0.001-0.004-0.205-0.005-0.123-0.121-0.085-0.206-0.08-0.122-0.041-0.058-0.237-0.012-0.26+0.2-0.069-0.06+0.106-0.036-0.007-0.019</f>
        <v>3.2000000000000375E-2</v>
      </c>
      <c r="CC242" s="1"/>
      <c r="CD242" s="1"/>
      <c r="CE242" s="1"/>
      <c r="CF242" s="1"/>
      <c r="CG242" s="1"/>
      <c r="CH242" s="1"/>
    </row>
    <row r="243" spans="1:86" x14ac:dyDescent="0.3">
      <c r="A243" s="10">
        <v>38</v>
      </c>
      <c r="B243" s="10">
        <v>4</v>
      </c>
      <c r="C243" s="10">
        <v>20</v>
      </c>
      <c r="D243" s="10" t="s">
        <v>1</v>
      </c>
      <c r="E243" s="15">
        <f>0.26+0.036-0.021+0.019-0.002-0.008-0.008-0.002-0.008-0.002-0.016-0.034-0.004-0.007</f>
        <v>0.20299999999999993</v>
      </c>
      <c r="CC243" s="1"/>
      <c r="CD243" s="1"/>
      <c r="CE243" s="1"/>
      <c r="CF243" s="1"/>
      <c r="CG243" s="1"/>
      <c r="CH243" s="1"/>
    </row>
    <row r="244" spans="1:86" x14ac:dyDescent="0.3">
      <c r="A244" s="10">
        <v>38</v>
      </c>
      <c r="B244" s="10">
        <v>4</v>
      </c>
      <c r="C244" s="10">
        <v>20</v>
      </c>
      <c r="D244" s="10" t="s">
        <v>1</v>
      </c>
      <c r="E244" s="15">
        <f>14.425-0.029-0.056-0.027-0.3-0.092-0.03-0.021-0.023-0.017-0.137-0.052-0.015-0.23-0.055-0.051-0.004</f>
        <v>13.286000000000001</v>
      </c>
      <c r="CC244" s="1"/>
      <c r="CD244" s="1"/>
      <c r="CE244" s="1"/>
      <c r="CF244" s="1"/>
      <c r="CG244" s="1"/>
      <c r="CH244" s="1"/>
    </row>
    <row r="245" spans="1:86" x14ac:dyDescent="0.3">
      <c r="A245" s="10">
        <v>38</v>
      </c>
      <c r="B245" s="10">
        <v>4</v>
      </c>
      <c r="C245" s="10">
        <v>20</v>
      </c>
      <c r="D245" s="10" t="s">
        <v>4</v>
      </c>
      <c r="E245" s="15">
        <f>1.06-0.183-0.103-0.35-0.03</f>
        <v>0.39400000000000002</v>
      </c>
      <c r="CC245" s="1"/>
      <c r="CD245" s="1"/>
      <c r="CE245" s="1"/>
      <c r="CF245" s="1"/>
      <c r="CG245" s="1"/>
      <c r="CH245" s="1"/>
    </row>
    <row r="246" spans="1:86" x14ac:dyDescent="0.3">
      <c r="A246" s="10">
        <v>38</v>
      </c>
      <c r="B246" s="10">
        <v>4</v>
      </c>
      <c r="C246" s="10">
        <v>20</v>
      </c>
      <c r="D246" s="10" t="s">
        <v>8</v>
      </c>
      <c r="E246" s="15">
        <f>0.465-0.065-0.02+0.01-0.018</f>
        <v>0.372</v>
      </c>
      <c r="CC246" s="1"/>
      <c r="CD246" s="1"/>
      <c r="CE246" s="1"/>
      <c r="CF246" s="1"/>
      <c r="CG246" s="1"/>
      <c r="CH246" s="1"/>
    </row>
    <row r="247" spans="1:86" x14ac:dyDescent="0.3">
      <c r="A247" s="10">
        <v>38</v>
      </c>
      <c r="B247" s="10">
        <v>4</v>
      </c>
      <c r="C247" s="10" t="s">
        <v>26</v>
      </c>
      <c r="D247" s="10" t="s">
        <v>4</v>
      </c>
      <c r="E247" s="15">
        <f>1.01-0.027-0.07-0.024-0.022+0.057-0.13-0.002-0.004-0.012-0.01-0.105-0.004-0.024-0.01-0.013-0.004-0.125-0.012-0.004-0.004-0.006-0.026-0.008-0.003-0.024-0.05-0.004-0.039-0.079-0.03-0.007-0.003-0.004-0.003-0.006-0.012-0.024-0.002-0.003-0.023-0.004-0.042-0.002-0.004-0.024+0.15-0.008-0.002-0.024-0.024-0.002-0.004-0.003-0.014-0.003-0.002-0.012-0.024-0.011-0.022</f>
        <v>2.3999999999999876E-2</v>
      </c>
      <c r="CC247" s="1"/>
      <c r="CD247" s="1"/>
      <c r="CE247" s="1"/>
      <c r="CF247" s="1"/>
      <c r="CG247" s="1"/>
      <c r="CH247" s="1"/>
    </row>
    <row r="248" spans="1:86" x14ac:dyDescent="0.3">
      <c r="A248" s="10">
        <v>38</v>
      </c>
      <c r="B248" s="10">
        <v>4</v>
      </c>
      <c r="C248" s="10">
        <v>45</v>
      </c>
      <c r="D248" s="10" t="s">
        <v>4</v>
      </c>
      <c r="E248" s="15">
        <f>1.22-0.1-0.125-0.142-0.026+0.033-0.04-0.04-0.024-0.005-0.05-0.05-0.018-0.052-0.048</f>
        <v>0.53299999999999959</v>
      </c>
      <c r="CC248" s="1"/>
      <c r="CD248" s="1"/>
      <c r="CE248" s="1"/>
      <c r="CF248" s="1"/>
      <c r="CG248" s="1"/>
      <c r="CH248" s="1"/>
    </row>
    <row r="249" spans="1:86" x14ac:dyDescent="0.3">
      <c r="A249" s="8">
        <v>38</v>
      </c>
      <c r="B249" s="8">
        <v>5</v>
      </c>
      <c r="C249" s="8">
        <v>20</v>
      </c>
      <c r="D249" s="8" t="s">
        <v>1</v>
      </c>
      <c r="E249" s="9">
        <v>2</v>
      </c>
      <c r="CC249" s="1"/>
      <c r="CD249" s="1"/>
      <c r="CE249" s="1"/>
      <c r="CF249" s="1"/>
      <c r="CG249" s="1"/>
      <c r="CH249" s="1"/>
    </row>
    <row r="250" spans="1:86" x14ac:dyDescent="0.3">
      <c r="A250" s="10">
        <v>38</v>
      </c>
      <c r="B250" s="10">
        <v>5</v>
      </c>
      <c r="C250" s="10">
        <v>20</v>
      </c>
      <c r="D250" s="10" t="s">
        <v>4</v>
      </c>
      <c r="E250" s="15">
        <f>1.07-0.064+0.004-0.129-0.01-0.25-0.01-0.063-0.015-0.008-0.003-0.01-0.015-0.02-0.028-0.033-0.038-0.003-0.006-0.002-0.005</f>
        <v>0.36199999999999993</v>
      </c>
      <c r="CC250" s="1"/>
      <c r="CD250" s="1"/>
      <c r="CE250" s="1"/>
      <c r="CF250" s="1"/>
      <c r="CG250" s="1"/>
      <c r="CH250" s="1"/>
    </row>
    <row r="251" spans="1:86" x14ac:dyDescent="0.3">
      <c r="A251" s="10">
        <v>38</v>
      </c>
      <c r="B251" s="10">
        <v>5</v>
      </c>
      <c r="C251" s="10" t="s">
        <v>26</v>
      </c>
      <c r="D251" s="10" t="s">
        <v>4</v>
      </c>
      <c r="E251" s="15">
        <f>0.4+2.75-0.022-0.009-0.005-0.004-0.63-0.014-0.046-0.005-0.112-0.003-0.026-0.045-0.026-0.108-0.004-0.038-0.028-0.008-0.02-0.004-0.004-0.041-0.005-0.051-0.014</f>
        <v>1.8780000000000014</v>
      </c>
      <c r="CC251" s="1"/>
      <c r="CD251" s="1"/>
      <c r="CE251" s="1"/>
      <c r="CF251" s="1"/>
      <c r="CG251" s="1"/>
      <c r="CH251" s="1"/>
    </row>
    <row r="252" spans="1:86" x14ac:dyDescent="0.3">
      <c r="A252" s="8">
        <v>38</v>
      </c>
      <c r="B252" s="8">
        <v>5</v>
      </c>
      <c r="C252" s="8">
        <v>35</v>
      </c>
      <c r="D252" s="8" t="s">
        <v>4</v>
      </c>
      <c r="E252" s="9">
        <v>0.26</v>
      </c>
      <c r="CC252" s="1"/>
      <c r="CD252" s="1"/>
      <c r="CE252" s="1"/>
      <c r="CF252" s="1"/>
      <c r="CG252" s="1"/>
      <c r="CH252" s="1"/>
    </row>
    <row r="253" spans="1:86" x14ac:dyDescent="0.3">
      <c r="A253" s="10">
        <v>38</v>
      </c>
      <c r="B253" s="10">
        <v>5</v>
      </c>
      <c r="C253" s="10" t="s">
        <v>28</v>
      </c>
      <c r="D253" s="10" t="s">
        <v>4</v>
      </c>
      <c r="E253" s="15">
        <f>3.23-0.37-0.044-0.044-0.003-0.006</f>
        <v>2.7629999999999999</v>
      </c>
      <c r="CC253" s="1"/>
      <c r="CD253" s="1"/>
      <c r="CE253" s="1"/>
      <c r="CF253" s="1"/>
      <c r="CG253" s="1"/>
      <c r="CH253" s="1"/>
    </row>
    <row r="254" spans="1:86" x14ac:dyDescent="0.3">
      <c r="A254" s="8">
        <v>38</v>
      </c>
      <c r="B254" s="8">
        <v>6</v>
      </c>
      <c r="C254" s="8">
        <v>20</v>
      </c>
      <c r="D254" s="8" t="s">
        <v>1</v>
      </c>
      <c r="E254" s="9">
        <v>2</v>
      </c>
      <c r="CC254" s="1"/>
      <c r="CD254" s="1"/>
      <c r="CE254" s="1"/>
      <c r="CF254" s="1"/>
      <c r="CG254" s="1"/>
      <c r="CH254" s="1"/>
    </row>
    <row r="255" spans="1:86" x14ac:dyDescent="0.3">
      <c r="A255" s="10">
        <v>38</v>
      </c>
      <c r="B255" s="10">
        <v>6</v>
      </c>
      <c r="C255" s="10">
        <v>20</v>
      </c>
      <c r="D255" s="10" t="s">
        <v>4</v>
      </c>
      <c r="E255" s="15">
        <f>1.03+0.047-0.007-0.049-0.01-0.249-0.051-0.255-0.003-0.009-0.004-0.303+0.237-0.017-0.019-0.019</f>
        <v>0.31900000000000001</v>
      </c>
      <c r="CC255" s="1"/>
      <c r="CD255" s="1"/>
      <c r="CE255" s="1"/>
      <c r="CF255" s="1"/>
      <c r="CG255" s="1"/>
      <c r="CH255" s="1"/>
    </row>
    <row r="256" spans="1:86" x14ac:dyDescent="0.3">
      <c r="A256" s="10">
        <v>38</v>
      </c>
      <c r="B256" s="10">
        <v>6</v>
      </c>
      <c r="C256" s="10">
        <v>20</v>
      </c>
      <c r="D256" s="10" t="s">
        <v>32</v>
      </c>
      <c r="E256" s="15">
        <f>1.415-0.181</f>
        <v>1.234</v>
      </c>
      <c r="CC256" s="1"/>
      <c r="CD256" s="1"/>
      <c r="CE256" s="1"/>
      <c r="CF256" s="1"/>
      <c r="CG256" s="1"/>
      <c r="CH256" s="1"/>
    </row>
    <row r="257" spans="1:86" x14ac:dyDescent="0.3">
      <c r="A257" s="10">
        <v>38</v>
      </c>
      <c r="B257" s="10">
        <v>6</v>
      </c>
      <c r="C257" s="10" t="s">
        <v>26</v>
      </c>
      <c r="D257" s="10" t="s">
        <v>4</v>
      </c>
      <c r="E257" s="15">
        <f>1.51-0.012-0.05-0.05-0.006-0.002-0.022-0.015-0.044-0.012-0.006-0.033-0.012-0.007-0.002-0.006-0.006-0.003-0.006-0.099-0.003-0.019-0.01-0.046-0.147-0.011-0.003-0.148-0.003</f>
        <v>0.72700000000000031</v>
      </c>
      <c r="CC257" s="1"/>
      <c r="CD257" s="1"/>
      <c r="CE257" s="1"/>
      <c r="CF257" s="1"/>
      <c r="CG257" s="1"/>
      <c r="CH257" s="1"/>
    </row>
    <row r="258" spans="1:86" x14ac:dyDescent="0.3">
      <c r="A258" s="10">
        <v>38</v>
      </c>
      <c r="B258" s="10">
        <v>6</v>
      </c>
      <c r="C258" s="10">
        <v>45</v>
      </c>
      <c r="D258" s="10" t="s">
        <v>1</v>
      </c>
      <c r="E258" s="15">
        <f>5.529-0.006-0.33-1.77-0.205-0.012-0.12-0.018-0.022-0.017-0.119-0.172-0.09</f>
        <v>2.6480000000000001</v>
      </c>
      <c r="CC258" s="1"/>
      <c r="CD258" s="1"/>
      <c r="CE258" s="1"/>
      <c r="CF258" s="1"/>
      <c r="CG258" s="1"/>
      <c r="CH258" s="1"/>
    </row>
    <row r="259" spans="1:86" x14ac:dyDescent="0.3">
      <c r="A259" s="10">
        <v>38</v>
      </c>
      <c r="B259" s="10">
        <v>7</v>
      </c>
      <c r="C259" s="10">
        <v>20</v>
      </c>
      <c r="D259" s="10" t="s">
        <v>4</v>
      </c>
      <c r="E259" s="15">
        <f>0.515+1.01-0.027-0.088-0.4-0.005-0.007-0.06-0.01-0.005</f>
        <v>0.92299999999999993</v>
      </c>
      <c r="CC259" s="1"/>
      <c r="CD259" s="1"/>
      <c r="CE259" s="1"/>
      <c r="CF259" s="1"/>
      <c r="CG259" s="1"/>
      <c r="CH259" s="1"/>
    </row>
    <row r="260" spans="1:86" x14ac:dyDescent="0.3">
      <c r="A260" s="10">
        <v>38</v>
      </c>
      <c r="B260" s="10">
        <v>8</v>
      </c>
      <c r="C260" s="10">
        <v>20</v>
      </c>
      <c r="D260" s="10" t="s">
        <v>1</v>
      </c>
      <c r="E260" s="15">
        <f>5.831-0.063-0.014-0.255-0.257-0.194-0.064-0.627-0.026-0.023-0.629-0.158-0.082-0.007-0.012-0.631-0.107-0.644-0.062-0.014-0.034-0.004-0.005-0.008</f>
        <v>1.9110000000000011</v>
      </c>
      <c r="CC260" s="1"/>
      <c r="CD260" s="1"/>
      <c r="CE260" s="1"/>
      <c r="CF260" s="1"/>
      <c r="CG260" s="1"/>
      <c r="CH260" s="1"/>
    </row>
    <row r="261" spans="1:86" x14ac:dyDescent="0.3">
      <c r="A261" s="10">
        <v>38</v>
      </c>
      <c r="B261" s="10">
        <v>8</v>
      </c>
      <c r="C261" s="10">
        <v>20</v>
      </c>
      <c r="D261" s="10" t="s">
        <v>4</v>
      </c>
      <c r="E261" s="15">
        <f>0.51-0.066-0.009-0.064-0.071-0.055+8.035-0.034</f>
        <v>8.2459999999999987</v>
      </c>
      <c r="CC261" s="1"/>
      <c r="CD261" s="1"/>
      <c r="CE261" s="1"/>
      <c r="CF261" s="1"/>
      <c r="CG261" s="1"/>
      <c r="CH261" s="1"/>
    </row>
    <row r="262" spans="1:86" x14ac:dyDescent="0.3">
      <c r="A262" s="10">
        <v>38</v>
      </c>
      <c r="B262" s="10">
        <v>8</v>
      </c>
      <c r="C262" s="10">
        <v>20</v>
      </c>
      <c r="D262" s="10" t="s">
        <v>32</v>
      </c>
      <c r="E262" s="15">
        <v>6.0999999999999999E-2</v>
      </c>
      <c r="CC262" s="1"/>
      <c r="CD262" s="1"/>
      <c r="CE262" s="1"/>
      <c r="CF262" s="1"/>
      <c r="CG262" s="1"/>
      <c r="CH262" s="1"/>
    </row>
    <row r="263" spans="1:86" x14ac:dyDescent="0.3">
      <c r="A263" s="8">
        <v>38</v>
      </c>
      <c r="B263" s="8">
        <v>8</v>
      </c>
      <c r="C263" s="8" t="s">
        <v>26</v>
      </c>
      <c r="D263" s="8" t="s">
        <v>4</v>
      </c>
      <c r="E263" s="9">
        <f>2.12-0.302-0.066-0.127-0.004-0.006-0.009-0.007-0.004-0.062-0.008-0.006-0.007-0.02-0.16-0.005-0.034-0.185-0.002-0.016-0.008-0.028-0.063-0.063-0.042-0.008-0.004-0.021-0.06-0.062-0.026-0.062-0.013-0.008-0.008-0.007-0.024-0.008-0.007-0.045-0.059-0.027-0.04-0.004-0.034-0.014-0.009-0.063-0.004+1.55-0.006-0.004-0.004-0.004-0.007-0.062-0.008-0.74</f>
        <v>0.98400000000000021</v>
      </c>
    </row>
    <row r="264" spans="1:86" x14ac:dyDescent="0.3">
      <c r="A264" s="10">
        <v>38</v>
      </c>
      <c r="B264" s="10">
        <v>8</v>
      </c>
      <c r="C264" s="10">
        <v>45</v>
      </c>
      <c r="D264" s="10" t="s">
        <v>4</v>
      </c>
      <c r="E264" s="15">
        <f>3.016-0.014-2.96</f>
        <v>4.2000000000000259E-2</v>
      </c>
    </row>
    <row r="265" spans="1:86" x14ac:dyDescent="0.3">
      <c r="A265" s="10">
        <v>38</v>
      </c>
      <c r="B265" s="10">
        <v>8</v>
      </c>
      <c r="C265" s="10">
        <v>45</v>
      </c>
      <c r="D265" s="10" t="s">
        <v>4</v>
      </c>
      <c r="E265" s="15">
        <f>2.96-0.023-0.017-0.125-0.114-0.114-0.123-0.042-0.081-0.022-0.054-0.54-0.114-0.116+0.116-0.286</f>
        <v>1.3050000000000004</v>
      </c>
    </row>
    <row r="266" spans="1:86" x14ac:dyDescent="0.3">
      <c r="A266" s="10">
        <v>38</v>
      </c>
      <c r="B266" s="10">
        <v>8</v>
      </c>
      <c r="C266" s="10" t="s">
        <v>28</v>
      </c>
      <c r="D266" s="10" t="s">
        <v>4</v>
      </c>
      <c r="E266" s="15">
        <f>3.14-0.042-0.083-0.172-0.042-0.005-0.04-0.79-0.155-0.042-0.005-1.93+0.2</f>
        <v>3.4000000000000308E-2</v>
      </c>
    </row>
    <row r="267" spans="1:86" x14ac:dyDescent="0.3">
      <c r="A267" s="10">
        <v>38</v>
      </c>
      <c r="B267" s="10">
        <v>8</v>
      </c>
      <c r="C267" s="10" t="s">
        <v>28</v>
      </c>
      <c r="D267" s="10" t="s">
        <v>4</v>
      </c>
      <c r="E267" s="15">
        <f>3.14-0.042-0.083-0.172-0.042-0.005-0.04-0.79-0.155-0.042-0.005+0.166-0.078-0.042-0.042-0.224-0.12-0.368-0.039-0.12-0.037-0.33</f>
        <v>0.53</v>
      </c>
    </row>
    <row r="268" spans="1:86" x14ac:dyDescent="0.3">
      <c r="A268" s="10">
        <v>38</v>
      </c>
      <c r="B268" s="10">
        <v>9</v>
      </c>
      <c r="C268" s="10">
        <v>20</v>
      </c>
      <c r="D268" s="10" t="s">
        <v>1</v>
      </c>
      <c r="E268" s="15">
        <f>3.495-0.27-0.138-0.07-0.135-0.002-0.44-0.134-0.066-0.07-0.067+0.097-0.339-0.071-0.068-0.25-0.075-0.003-0.012-0.19-0.055-0.07-0.033-0.26-0.002-0.07-0.07-0.205-0.007-0.018-0.505+0.113</f>
        <v>1.0000000000001244E-2</v>
      </c>
    </row>
    <row r="269" spans="1:86" x14ac:dyDescent="0.3">
      <c r="A269" s="8">
        <v>38</v>
      </c>
      <c r="B269" s="8">
        <v>9</v>
      </c>
      <c r="C269" s="8" t="s">
        <v>26</v>
      </c>
      <c r="D269" s="8" t="s">
        <v>4</v>
      </c>
      <c r="E269" s="9">
        <f>1.05-0.112-0.116-0.029-0.252-0.028-0.011-0.022-0.06-0.115-0.015</f>
        <v>0.28999999999999998</v>
      </c>
    </row>
    <row r="270" spans="1:86" x14ac:dyDescent="0.3">
      <c r="A270" s="8">
        <v>38</v>
      </c>
      <c r="B270" s="8">
        <v>10</v>
      </c>
      <c r="C270" s="8">
        <v>20</v>
      </c>
      <c r="D270" s="8" t="s">
        <v>1</v>
      </c>
      <c r="E270" s="9">
        <v>5</v>
      </c>
    </row>
    <row r="271" spans="1:86" x14ac:dyDescent="0.3">
      <c r="A271" s="10">
        <v>38</v>
      </c>
      <c r="B271" s="10">
        <v>10</v>
      </c>
      <c r="C271" s="10" t="s">
        <v>30</v>
      </c>
      <c r="D271" s="10" t="s">
        <v>1</v>
      </c>
      <c r="E271" s="15">
        <f>3.878-0.051-1.007-0.102-1.94-0.021-0.54-0.05+0.1-0.151-0.031-0.032-0.02</f>
        <v>3.300000000000046E-2</v>
      </c>
    </row>
    <row r="272" spans="1:86" x14ac:dyDescent="0.3">
      <c r="A272" s="8">
        <v>38</v>
      </c>
      <c r="B272" s="8">
        <v>10</v>
      </c>
      <c r="C272" s="8" t="s">
        <v>30</v>
      </c>
      <c r="D272" s="8" t="s">
        <v>1</v>
      </c>
      <c r="E272" s="9">
        <v>5</v>
      </c>
    </row>
    <row r="273" spans="1:5" x14ac:dyDescent="0.3">
      <c r="A273" s="10">
        <v>38</v>
      </c>
      <c r="B273" s="10">
        <v>10</v>
      </c>
      <c r="C273" s="10" t="s">
        <v>30</v>
      </c>
      <c r="D273" s="10" t="s">
        <v>1</v>
      </c>
      <c r="E273" s="15">
        <v>2.1110000000000002</v>
      </c>
    </row>
    <row r="274" spans="1:5" x14ac:dyDescent="0.3">
      <c r="A274" s="10">
        <v>38</v>
      </c>
      <c r="B274" s="10">
        <v>10</v>
      </c>
      <c r="C274" s="10" t="s">
        <v>30</v>
      </c>
      <c r="D274" s="10" t="s">
        <v>64</v>
      </c>
      <c r="E274" s="15">
        <f>5-2.111</f>
        <v>2.8889999999999998</v>
      </c>
    </row>
    <row r="275" spans="1:5" x14ac:dyDescent="0.3">
      <c r="A275" s="10">
        <v>40</v>
      </c>
      <c r="B275" s="10">
        <v>2</v>
      </c>
      <c r="C275" s="10">
        <v>20</v>
      </c>
      <c r="D275" s="10" t="s">
        <v>4</v>
      </c>
      <c r="E275" s="15">
        <f>5.992-0.024-0.025-0.009-0.017</f>
        <v>5.9169999999999989</v>
      </c>
    </row>
    <row r="276" spans="1:5" x14ac:dyDescent="0.3">
      <c r="A276" s="10">
        <v>40</v>
      </c>
      <c r="B276" s="10">
        <v>2.5</v>
      </c>
      <c r="C276" s="10">
        <v>20</v>
      </c>
      <c r="D276" s="10" t="s">
        <v>4</v>
      </c>
      <c r="E276" s="15">
        <f>0.87-0.009-0.023-0.026-0.007-0.024-0.006-0.002</f>
        <v>0.77299999999999991</v>
      </c>
    </row>
    <row r="277" spans="1:5" x14ac:dyDescent="0.3">
      <c r="A277" s="10">
        <v>40</v>
      </c>
      <c r="B277" s="10">
        <v>2.5</v>
      </c>
      <c r="C277" s="10" t="s">
        <v>26</v>
      </c>
      <c r="D277" s="10" t="s">
        <v>4</v>
      </c>
      <c r="E277" s="15">
        <f>0.65+0.42-0.21-0.028-0.031-0.031-0.056</f>
        <v>0.71399999999999997</v>
      </c>
    </row>
    <row r="278" spans="1:5" x14ac:dyDescent="0.3">
      <c r="A278" s="10">
        <v>40</v>
      </c>
      <c r="B278" s="10">
        <v>3</v>
      </c>
      <c r="C278" s="10">
        <v>20</v>
      </c>
      <c r="D278" s="10" t="s">
        <v>4</v>
      </c>
      <c r="E278" s="15">
        <f>1.08-0.047-0.002-0.002-0.155-0.007-0.88+0.021-0.007+0.001</f>
        <v>2.0000000000001007E-3</v>
      </c>
    </row>
    <row r="279" spans="1:5" x14ac:dyDescent="0.3">
      <c r="A279" s="10">
        <v>40</v>
      </c>
      <c r="B279" s="10">
        <v>3</v>
      </c>
      <c r="C279" s="10">
        <v>20</v>
      </c>
      <c r="D279" s="10" t="s">
        <v>4</v>
      </c>
      <c r="E279" s="15">
        <f>0.88-0.02-0.021-0.023-0.02-0.005-0.067-0.023-0.046-0.02-0.04-0.021-0.4-0.02-0.003-0.004-0.121-0.011-0.106+0.12-0.002</f>
        <v>2.699999999999983E-2</v>
      </c>
    </row>
    <row r="280" spans="1:5" x14ac:dyDescent="0.3">
      <c r="A280" s="10">
        <v>40</v>
      </c>
      <c r="B280" s="10">
        <v>3</v>
      </c>
      <c r="C280" s="10" t="s">
        <v>26</v>
      </c>
      <c r="D280" s="10" t="s">
        <v>4</v>
      </c>
      <c r="E280" s="15">
        <f>2.13-0.093-0.011-0.425+0.98-0.031-0.44-0.01-0.115-0.003-0.007-0.004-0.153-0.02-0.011-0.008-0.021</f>
        <v>1.758</v>
      </c>
    </row>
    <row r="281" spans="1:5" x14ac:dyDescent="0.3">
      <c r="A281" s="8">
        <v>40</v>
      </c>
      <c r="B281" s="8">
        <v>3.5</v>
      </c>
      <c r="C281" s="8">
        <v>3</v>
      </c>
      <c r="D281" s="8" t="s">
        <v>23</v>
      </c>
      <c r="E281" s="9">
        <f>0.81-0.226+0.226-0.019-0.013-0.003+0.025-0.009-0.009</f>
        <v>0.78200000000000003</v>
      </c>
    </row>
    <row r="282" spans="1:5" x14ac:dyDescent="0.3">
      <c r="A282" s="8">
        <v>40</v>
      </c>
      <c r="B282" s="8">
        <v>4</v>
      </c>
      <c r="C282" s="8">
        <v>3</v>
      </c>
      <c r="D282" s="8" t="s">
        <v>23</v>
      </c>
      <c r="E282" s="9">
        <v>8.7999999999999995E-2</v>
      </c>
    </row>
    <row r="283" spans="1:5" x14ac:dyDescent="0.3">
      <c r="A283" s="8">
        <v>40</v>
      </c>
      <c r="B283" s="8">
        <v>4</v>
      </c>
      <c r="C283" s="8">
        <v>20</v>
      </c>
      <c r="D283" s="8" t="s">
        <v>1</v>
      </c>
      <c r="E283" s="9">
        <v>2</v>
      </c>
    </row>
    <row r="284" spans="1:5" x14ac:dyDescent="0.3">
      <c r="A284" s="10">
        <v>40</v>
      </c>
      <c r="B284" s="10">
        <v>4</v>
      </c>
      <c r="C284" s="10">
        <v>20</v>
      </c>
      <c r="D284" s="10" t="s">
        <v>4</v>
      </c>
      <c r="E284" s="15">
        <f>1.33-0.011-0.092-0.029-0.395-0.019-0.002-0.015-0.003-0.004-0.029-0.008-0.013-0.003</f>
        <v>0.70700000000000007</v>
      </c>
    </row>
    <row r="285" spans="1:5" x14ac:dyDescent="0.3">
      <c r="A285" s="10">
        <v>40</v>
      </c>
      <c r="B285" s="10">
        <v>4</v>
      </c>
      <c r="C285" s="10" t="s">
        <v>26</v>
      </c>
      <c r="D285" s="10" t="s">
        <v>4</v>
      </c>
      <c r="E285" s="15">
        <f>2.13-0.017-0.003-0.038-0.038-0.119-0.005-0.077-0.009-0.009-0.044-0.009-0.039-0.018-0.041-0.078</f>
        <v>1.5860000000000007</v>
      </c>
    </row>
    <row r="286" spans="1:5" x14ac:dyDescent="0.3">
      <c r="A286" s="10">
        <v>40</v>
      </c>
      <c r="B286" s="10">
        <v>4</v>
      </c>
      <c r="C286" s="10" t="s">
        <v>28</v>
      </c>
      <c r="D286" s="10" t="s">
        <v>4</v>
      </c>
      <c r="E286" s="15">
        <f>0.61+0.62-0.041-0.039-0.005</f>
        <v>1.1450000000000002</v>
      </c>
    </row>
    <row r="287" spans="1:5" x14ac:dyDescent="0.3">
      <c r="A287" s="10">
        <v>40</v>
      </c>
      <c r="B287" s="10">
        <v>5</v>
      </c>
      <c r="C287" s="10">
        <v>20</v>
      </c>
      <c r="D287" s="10" t="s">
        <v>4</v>
      </c>
      <c r="E287" s="15">
        <f>1-0.1-0.05-0.001-0.048-0.076-0.028-0.024-0.002-0.004-0.051-0.028-0.39-0.026-0.099+0.1-0.02-0.05-0.006-0.011-0.043-0.009-0.015-0.024+0.016-0.009</f>
        <v>1.9999999999998578E-3</v>
      </c>
    </row>
    <row r="288" spans="1:5" x14ac:dyDescent="0.3">
      <c r="A288" s="10">
        <v>40</v>
      </c>
      <c r="B288" s="10">
        <v>5</v>
      </c>
      <c r="C288" s="10">
        <v>20</v>
      </c>
      <c r="D288" s="10" t="s">
        <v>64</v>
      </c>
      <c r="E288" s="15">
        <v>5.9329999999999998</v>
      </c>
    </row>
    <row r="289" spans="1:5" x14ac:dyDescent="0.3">
      <c r="A289" s="8">
        <v>40</v>
      </c>
      <c r="B289" s="8">
        <v>5</v>
      </c>
      <c r="C289" s="8">
        <v>20</v>
      </c>
      <c r="D289" s="8" t="s">
        <v>1</v>
      </c>
      <c r="E289" s="9">
        <v>2</v>
      </c>
    </row>
    <row r="290" spans="1:5" x14ac:dyDescent="0.3">
      <c r="A290" s="10">
        <v>40</v>
      </c>
      <c r="B290" s="10">
        <v>5</v>
      </c>
      <c r="C290" s="10" t="s">
        <v>26</v>
      </c>
      <c r="D290" s="10" t="s">
        <v>64</v>
      </c>
      <c r="E290" s="15">
        <v>5</v>
      </c>
    </row>
    <row r="291" spans="1:5" x14ac:dyDescent="0.3">
      <c r="A291" s="10">
        <v>40</v>
      </c>
      <c r="B291" s="10">
        <v>5</v>
      </c>
      <c r="C291" s="10" t="s">
        <v>26</v>
      </c>
      <c r="D291" s="10" t="s">
        <v>4</v>
      </c>
      <c r="E291" s="15">
        <f>1.03-0.189-0.188-0.189-0.003-0.047-0.01-0.006-0.006-0.006-0.009-0.002-0.29-0.01-0.037+0.06-0.007-0.059</f>
        <v>3.2000000000000028E-2</v>
      </c>
    </row>
    <row r="292" spans="1:5" x14ac:dyDescent="0.3">
      <c r="A292" s="8">
        <v>40</v>
      </c>
      <c r="B292" s="8">
        <v>5</v>
      </c>
      <c r="C292" s="13">
        <v>35</v>
      </c>
      <c r="D292" s="8" t="s">
        <v>4</v>
      </c>
      <c r="E292" s="9">
        <f>0.21+0.024-0.125-0.003-0.085+0.1-0.048-0.016+2.49-0.044-0.043-0.047-0.009</f>
        <v>2.4039999999999999</v>
      </c>
    </row>
    <row r="293" spans="1:5" x14ac:dyDescent="0.3">
      <c r="A293" s="10">
        <v>40</v>
      </c>
      <c r="B293" s="10">
        <v>5</v>
      </c>
      <c r="C293" s="10" t="s">
        <v>28</v>
      </c>
      <c r="D293" s="10" t="s">
        <v>4</v>
      </c>
      <c r="E293" s="15">
        <f>1.05-0.12</f>
        <v>0.93</v>
      </c>
    </row>
    <row r="294" spans="1:5" x14ac:dyDescent="0.3">
      <c r="A294" s="8">
        <v>40</v>
      </c>
      <c r="B294" s="8">
        <v>5</v>
      </c>
      <c r="C294" s="13" t="s">
        <v>30</v>
      </c>
      <c r="D294" s="8" t="s">
        <v>4</v>
      </c>
      <c r="E294" s="9">
        <f>1.44+6.84+0.024-0.012+1.98-0.01-0.041-0.01-0.035-1.03-0.031-0.037-0.171-0.047-0.333-0.048-0.037-0.462+2.045-0.058+0.38-0.51-0.005-0.1-0.031-0.005-0.011-0.06-0.021-0.015-0.006-0.064-0.032-0.016-0.016-0.016-0.041-0.075</f>
        <v>9.3229999999999951</v>
      </c>
    </row>
    <row r="295" spans="1:5" x14ac:dyDescent="0.3">
      <c r="A295" s="10">
        <v>40</v>
      </c>
      <c r="B295" s="10">
        <v>6</v>
      </c>
      <c r="C295" s="10">
        <v>20</v>
      </c>
      <c r="D295" s="10" t="s">
        <v>1</v>
      </c>
      <c r="E295" s="15">
        <f>0.06-0.013-0.007-0.01</f>
        <v>0.03</v>
      </c>
    </row>
    <row r="296" spans="1:5" x14ac:dyDescent="0.3">
      <c r="A296" s="8">
        <v>40</v>
      </c>
      <c r="B296" s="8">
        <v>6</v>
      </c>
      <c r="C296" s="8">
        <v>20</v>
      </c>
      <c r="D296" s="8" t="s">
        <v>1</v>
      </c>
      <c r="E296" s="9">
        <v>3</v>
      </c>
    </row>
    <row r="297" spans="1:5" x14ac:dyDescent="0.3">
      <c r="A297" s="10">
        <v>40</v>
      </c>
      <c r="B297" s="10">
        <v>6</v>
      </c>
      <c r="C297" s="10" t="s">
        <v>26</v>
      </c>
      <c r="D297" s="10" t="s">
        <v>64</v>
      </c>
      <c r="E297" s="15">
        <f>5.658-0.046-0.115-0.058-0.058-0.012-0.62-0.006-0.006-0.006-0.057-0.012-0.057-0.053-0.059-0.265-0.002-0.029-0.053-0.004-0.003-0.985-0.083-0.058-0.114-0.115-0.006-0.053</f>
        <v>2.7230000000000008</v>
      </c>
    </row>
    <row r="298" spans="1:5" x14ac:dyDescent="0.3">
      <c r="A298" s="10">
        <v>40</v>
      </c>
      <c r="B298" s="10">
        <v>6</v>
      </c>
      <c r="C298" s="10" t="s">
        <v>28</v>
      </c>
      <c r="D298" s="10" t="s">
        <v>1</v>
      </c>
      <c r="E298" s="15">
        <f>2.712+2.941-0.44-0.056-0.054-0.11-0.105-0.058-0.058-0.31-0.058-0.012-0.017-0.059-0.018-0.115-0.004-0.114-0.009-0.017</f>
        <v>4.0389999999999997</v>
      </c>
    </row>
    <row r="299" spans="1:5" x14ac:dyDescent="0.3">
      <c r="A299" s="10">
        <v>40</v>
      </c>
      <c r="B299" s="10">
        <v>6.5</v>
      </c>
      <c r="C299" s="10">
        <v>20</v>
      </c>
      <c r="D299" s="10" t="s">
        <v>4</v>
      </c>
      <c r="E299" s="15">
        <f>1.06-0.075-0.464</f>
        <v>0.52100000000000013</v>
      </c>
    </row>
    <row r="300" spans="1:5" x14ac:dyDescent="0.3">
      <c r="A300" s="10">
        <v>40</v>
      </c>
      <c r="B300" s="10">
        <v>6.5</v>
      </c>
      <c r="C300" s="10" t="s">
        <v>26</v>
      </c>
      <c r="D300" s="10" t="s">
        <v>4</v>
      </c>
      <c r="E300" s="15">
        <v>1.08</v>
      </c>
    </row>
    <row r="301" spans="1:5" x14ac:dyDescent="0.3">
      <c r="A301" s="10">
        <v>40</v>
      </c>
      <c r="B301" s="10">
        <v>7</v>
      </c>
      <c r="C301" s="10">
        <v>20</v>
      </c>
      <c r="D301" s="10" t="s">
        <v>4</v>
      </c>
      <c r="E301" s="15">
        <f>9.99-0.02-9.975+0.279-0.014</f>
        <v>0.26000000000000101</v>
      </c>
    </row>
    <row r="302" spans="1:5" x14ac:dyDescent="0.3">
      <c r="A302" s="10">
        <v>40</v>
      </c>
      <c r="B302" s="10">
        <v>7</v>
      </c>
      <c r="C302" s="10">
        <v>20</v>
      </c>
      <c r="D302" s="10" t="s">
        <v>4</v>
      </c>
      <c r="E302" s="15">
        <f>9.99-0.02-0.054-0.007-0.018-0.36-0.007-0.055-0.021</f>
        <v>9.4480000000000004</v>
      </c>
    </row>
    <row r="303" spans="1:5" x14ac:dyDescent="0.3">
      <c r="A303" s="8">
        <v>40</v>
      </c>
      <c r="B303" s="8">
        <v>7</v>
      </c>
      <c r="C303" s="8" t="s">
        <v>30</v>
      </c>
      <c r="D303" s="8" t="s">
        <v>1</v>
      </c>
      <c r="E303" s="9">
        <v>5</v>
      </c>
    </row>
    <row r="304" spans="1:5" x14ac:dyDescent="0.3">
      <c r="A304" s="10">
        <v>40</v>
      </c>
      <c r="B304" s="10">
        <v>9</v>
      </c>
      <c r="C304" s="10">
        <v>20</v>
      </c>
      <c r="D304" s="10" t="s">
        <v>4</v>
      </c>
      <c r="E304" s="15">
        <f>1.08-0.086+20.425+19.635-0.09+7.656-0.194-0.48-0.044-0.9-20.15-21.905-5.185+0.7-0.39</f>
        <v>7.2000000000003062E-2</v>
      </c>
    </row>
    <row r="305" spans="1:5" x14ac:dyDescent="0.3">
      <c r="A305" s="10">
        <v>40</v>
      </c>
      <c r="B305" s="10">
        <v>9</v>
      </c>
      <c r="C305" s="10">
        <v>20</v>
      </c>
      <c r="D305" s="10" t="s">
        <v>4</v>
      </c>
      <c r="E305" s="15">
        <f>0.9-0.156+20.15+21.905+5.185-0.085-0.045-0.086-0.52-0.005-0.065-0.85-0.115-0.51-1.07-0.049-0.086-0.44-0.008-0.28-0.478-0.012-0.131-0.044-0.049-0.046-0.046-0.048-0.07-0.096-0.062-1-1.26-0.654-0.221-0.024-0.046-0.16-0.35-0.013-0.085-0.043-0.066-0.007-0.625</f>
        <v>38.134000000000007</v>
      </c>
    </row>
    <row r="306" spans="1:5" x14ac:dyDescent="0.3">
      <c r="A306" s="8">
        <v>40</v>
      </c>
      <c r="B306" s="8">
        <v>9</v>
      </c>
      <c r="C306" s="8" t="s">
        <v>26</v>
      </c>
      <c r="D306" s="8" t="s">
        <v>64</v>
      </c>
      <c r="E306" s="9">
        <f>6.113-0.47-0.525-0.072-0.024-0.02-0.296-0.031-0.004-0.004-0.031-0.016-0.005</f>
        <v>4.615000000000002</v>
      </c>
    </row>
    <row r="307" spans="1:5" x14ac:dyDescent="0.3">
      <c r="A307" s="10">
        <v>40</v>
      </c>
      <c r="B307" s="10">
        <v>9</v>
      </c>
      <c r="C307" s="10">
        <v>35</v>
      </c>
      <c r="D307" s="10" t="s">
        <v>1</v>
      </c>
      <c r="E307" s="15">
        <f>3.695-0.303-0.078-0.154-0.517-0.149-0.08-0.35-0.077-0.074+0.17-0.058-0.029-0.154-0.41-0.016-0.021-0.41-0.617-0.33+0.13-0.039-0.039</f>
        <v>9.0000000000000746E-2</v>
      </c>
    </row>
    <row r="308" spans="1:5" x14ac:dyDescent="0.3">
      <c r="A308" s="10">
        <v>40</v>
      </c>
      <c r="B308" s="10">
        <v>9</v>
      </c>
      <c r="C308" s="10">
        <v>35</v>
      </c>
      <c r="D308" s="10" t="s">
        <v>4</v>
      </c>
      <c r="E308" s="15">
        <f>1.5-0.28-0.211-0.029</f>
        <v>0.97999999999999987</v>
      </c>
    </row>
    <row r="309" spans="1:5" x14ac:dyDescent="0.3">
      <c r="A309" s="10">
        <v>40</v>
      </c>
      <c r="B309" s="10">
        <v>9</v>
      </c>
      <c r="C309" s="10" t="s">
        <v>30</v>
      </c>
      <c r="D309" s="10" t="s">
        <v>1</v>
      </c>
      <c r="E309" s="15">
        <v>5</v>
      </c>
    </row>
    <row r="310" spans="1:5" x14ac:dyDescent="0.3">
      <c r="A310" s="8">
        <v>40</v>
      </c>
      <c r="B310" s="8">
        <v>12</v>
      </c>
      <c r="C310" s="8">
        <v>20</v>
      </c>
      <c r="D310" s="8" t="s">
        <v>1</v>
      </c>
      <c r="E310" s="9">
        <v>5</v>
      </c>
    </row>
    <row r="311" spans="1:5" x14ac:dyDescent="0.3">
      <c r="A311" s="10">
        <v>42</v>
      </c>
      <c r="B311" s="10">
        <v>2.5</v>
      </c>
      <c r="C311" s="10" t="s">
        <v>58</v>
      </c>
      <c r="D311" s="10" t="s">
        <v>7</v>
      </c>
      <c r="E311" s="15">
        <f>0.025-0.006</f>
        <v>1.9000000000000003E-2</v>
      </c>
    </row>
    <row r="312" spans="1:5" x14ac:dyDescent="0.3">
      <c r="A312" s="10">
        <v>42</v>
      </c>
      <c r="B312" s="10">
        <v>2.5</v>
      </c>
      <c r="C312" s="10">
        <v>20</v>
      </c>
      <c r="D312" s="10" t="s">
        <v>4</v>
      </c>
      <c r="E312" s="15">
        <f>1.08-0.02-0.007-0.009-0.023-0.005-0.02-0.003-0.003-0.135-0.044-0.048+0.007-0.055-0.023-0.055-0.009-0.007-0.007</f>
        <v>0.61400000000000021</v>
      </c>
    </row>
    <row r="313" spans="1:5" x14ac:dyDescent="0.3">
      <c r="A313" s="10">
        <v>42</v>
      </c>
      <c r="B313" s="10">
        <v>2.5</v>
      </c>
      <c r="C313" s="10" t="s">
        <v>26</v>
      </c>
      <c r="D313" s="10" t="s">
        <v>4</v>
      </c>
      <c r="E313" s="15">
        <v>1.05</v>
      </c>
    </row>
    <row r="314" spans="1:5" x14ac:dyDescent="0.3">
      <c r="A314" s="10">
        <v>42</v>
      </c>
      <c r="B314" s="10">
        <v>3</v>
      </c>
      <c r="C314" s="10">
        <v>20</v>
      </c>
      <c r="D314" s="10" t="s">
        <v>1</v>
      </c>
      <c r="E314" s="15">
        <f>0.01-0.003</f>
        <v>7.0000000000000001E-3</v>
      </c>
    </row>
    <row r="315" spans="1:5" x14ac:dyDescent="0.3">
      <c r="A315" s="10">
        <v>42</v>
      </c>
      <c r="B315" s="10">
        <v>3</v>
      </c>
      <c r="C315" s="10">
        <v>20</v>
      </c>
      <c r="D315" s="10" t="s">
        <v>4</v>
      </c>
      <c r="E315" s="15">
        <f>2.53-0.28-0.222+0.011-0.081+0.4-0.011-0.02-0.005-0.269-0.003-0.046-0.005-0.05-0.004-0.004-0.01-0.02-0.004-0.005-0.021-0.01-0.01-0.002-0.002-0.014-0.012-0.004-0.003-0.005-0.008</f>
        <v>1.8110000000000004</v>
      </c>
    </row>
    <row r="316" spans="1:5" x14ac:dyDescent="0.3">
      <c r="A316" s="10">
        <v>42</v>
      </c>
      <c r="B316" s="10">
        <v>3</v>
      </c>
      <c r="C316" s="10" t="s">
        <v>26</v>
      </c>
      <c r="D316" s="10" t="s">
        <v>4</v>
      </c>
      <c r="E316" s="15">
        <f>1.47-0.031-0.063-0.032+0.029-0.03-0.032-0.001-0.064-0.26-0.01-0.031-0.061-0.031-0.02-0.06-0.004-0.01-0.002</f>
        <v>0.7569999999999999</v>
      </c>
    </row>
    <row r="317" spans="1:5" x14ac:dyDescent="0.3">
      <c r="A317" s="10">
        <v>42</v>
      </c>
      <c r="B317" s="10">
        <v>3</v>
      </c>
      <c r="C317" s="10" t="s">
        <v>26</v>
      </c>
      <c r="D317" s="10" t="s">
        <v>4</v>
      </c>
      <c r="E317" s="15">
        <f>2.5-1.47</f>
        <v>1.03</v>
      </c>
    </row>
    <row r="318" spans="1:5" x14ac:dyDescent="0.3">
      <c r="A318" s="10">
        <v>42</v>
      </c>
      <c r="B318" s="10">
        <v>3</v>
      </c>
      <c r="C318" s="10" t="s">
        <v>28</v>
      </c>
      <c r="D318" s="10" t="s">
        <v>4</v>
      </c>
      <c r="E318" s="15">
        <f>0.915-0.03-0.03-0.01-0.029-0.06-0.192-0.03</f>
        <v>0.53400000000000003</v>
      </c>
    </row>
    <row r="319" spans="1:5" x14ac:dyDescent="0.3">
      <c r="A319" s="10">
        <v>42</v>
      </c>
      <c r="B319" s="10">
        <v>3.5</v>
      </c>
      <c r="C319" s="10">
        <v>10</v>
      </c>
      <c r="D319" s="10" t="s">
        <v>4</v>
      </c>
      <c r="E319" s="15">
        <f>1.86-0.033-0.097-0.033-0.016-0.033-0.017-0.132-0.065-0.065-0.005-0.129-0.13-1.18+0.15</f>
        <v>7.5000000000000927E-2</v>
      </c>
    </row>
    <row r="320" spans="1:5" x14ac:dyDescent="0.3">
      <c r="A320" s="10">
        <v>42</v>
      </c>
      <c r="B320" s="10">
        <v>3.5</v>
      </c>
      <c r="C320" s="10">
        <v>10</v>
      </c>
      <c r="D320" s="10" t="s">
        <v>4</v>
      </c>
      <c r="E320" s="15">
        <f>1.18-0.194-0.065-0.709-0.097</f>
        <v>0.11500000000000007</v>
      </c>
    </row>
    <row r="321" spans="1:5" x14ac:dyDescent="0.3">
      <c r="A321" s="10">
        <v>42</v>
      </c>
      <c r="B321" s="10">
        <v>3.5</v>
      </c>
      <c r="C321" s="10">
        <v>20</v>
      </c>
      <c r="D321" s="10" t="s">
        <v>4</v>
      </c>
      <c r="E321" s="15">
        <f>1-0.172-0.086-0.018-0.11-0.026-0.004-0.009-0.195-0.004-0.027-0.004-0.01</f>
        <v>0.33500000000000002</v>
      </c>
    </row>
    <row r="322" spans="1:5" x14ac:dyDescent="0.3">
      <c r="A322" s="10">
        <v>42</v>
      </c>
      <c r="B322" s="10">
        <v>3.5</v>
      </c>
      <c r="C322" s="10">
        <v>45</v>
      </c>
      <c r="D322" s="10" t="s">
        <v>4</v>
      </c>
      <c r="E322" s="15">
        <f>1.99-0.004-0.029-0.027-0.008-0.029</f>
        <v>1.8930000000000002</v>
      </c>
    </row>
    <row r="323" spans="1:5" x14ac:dyDescent="0.3">
      <c r="A323" s="10">
        <v>42</v>
      </c>
      <c r="B323" s="10">
        <v>3.5</v>
      </c>
      <c r="C323" s="10" t="s">
        <v>31</v>
      </c>
      <c r="D323" s="10" t="s">
        <v>32</v>
      </c>
      <c r="E323" s="15">
        <v>0.14599999999999999</v>
      </c>
    </row>
    <row r="324" spans="1:5" x14ac:dyDescent="0.3">
      <c r="A324" s="10">
        <v>42</v>
      </c>
      <c r="B324" s="10">
        <v>4</v>
      </c>
      <c r="C324" s="10">
        <v>20</v>
      </c>
      <c r="D324" s="10" t="s">
        <v>1</v>
      </c>
      <c r="E324" s="15">
        <f>0.295+0.18+0.029+0.11-0.02+0.002-0.402-0.005-0.009-0.012-0.043-0.004-0.005-0.002+3.01-0.005-0.013-0.115-0.202-0.12-0.395-0.016-0.017-0.152-0.024-0.011-0.021-0.594-0.007-0.99-0.028-0.36-0.014-0.031</f>
        <v>8.9999999999997166E-3</v>
      </c>
    </row>
    <row r="325" spans="1:5" x14ac:dyDescent="0.3">
      <c r="A325" s="10">
        <v>42</v>
      </c>
      <c r="B325" s="10">
        <v>4</v>
      </c>
      <c r="C325" s="10">
        <v>20</v>
      </c>
      <c r="D325" s="10" t="s">
        <v>1</v>
      </c>
      <c r="E325" s="15">
        <f>5.847-0.007-0.045-0.002-0.2-0.034-0.005-0.027-0.005-0.075-0.04-0.045-0.001</f>
        <v>5.3610000000000007</v>
      </c>
    </row>
    <row r="326" spans="1:5" x14ac:dyDescent="0.3">
      <c r="A326" s="10">
        <v>42</v>
      </c>
      <c r="B326" s="10">
        <v>4</v>
      </c>
      <c r="C326" s="10">
        <v>20</v>
      </c>
      <c r="D326" s="10" t="s">
        <v>4</v>
      </c>
      <c r="E326" s="15">
        <f>0.328-0.19-0.01-0.083-0.032-0.01+0.027</f>
        <v>0.03</v>
      </c>
    </row>
    <row r="327" spans="1:5" x14ac:dyDescent="0.3">
      <c r="A327" s="10">
        <v>42</v>
      </c>
      <c r="B327" s="10">
        <v>4</v>
      </c>
      <c r="C327" s="10">
        <v>20</v>
      </c>
      <c r="D327" s="10" t="s">
        <v>4</v>
      </c>
      <c r="E327" s="15">
        <f>2.016-0.074-0.025-0.025-0.049-0.011-0.003-0.001-0.074-0.003-0.016-0.025-0.007-0.002-0.002-0.025-0.025-0.013</f>
        <v>1.636000000000001</v>
      </c>
    </row>
    <row r="328" spans="1:5" x14ac:dyDescent="0.3">
      <c r="A328" s="10">
        <v>42</v>
      </c>
      <c r="B328" s="10">
        <v>4</v>
      </c>
      <c r="C328" s="10" t="s">
        <v>26</v>
      </c>
      <c r="D328" s="10" t="s">
        <v>64</v>
      </c>
      <c r="E328" s="15">
        <f>5.436-0.203-0.041-0.082-0.007-0.085-0.011-0.028-0.076-0.005-0.003-0.051-0.012-0.009-0.041-0.085-0.123-0.017-0.086-0.03-0.012-0.005-0.009-0.011-0.042-0.2-0.25-0.086-0.118-0.006-0.009-0.039-0.003-0.214-0.011-0.046-0.018-0.005-0.205-0.079-0.029-0.026-0.017-0.009</f>
        <v>2.992</v>
      </c>
    </row>
    <row r="329" spans="1:5" x14ac:dyDescent="0.3">
      <c r="A329" s="10">
        <v>42</v>
      </c>
      <c r="B329" s="10">
        <v>4</v>
      </c>
      <c r="C329" s="10" t="s">
        <v>26</v>
      </c>
      <c r="D329" s="10" t="s">
        <v>4</v>
      </c>
      <c r="E329" s="15">
        <f>1.03-0.107-0.028-0.058-0.029-0.017-0.029-0.005-0.029-0.058-0.008-0.005+0.013-0.16-0.028-0.022-0.004-0.028-0.009-0.009-0.005-0.001-0.085-0.105-0.055-0.02-0.058-0.029-0.057+0.1-0.031</f>
        <v>6.3999999999999724E-2</v>
      </c>
    </row>
    <row r="330" spans="1:5" x14ac:dyDescent="0.3">
      <c r="A330" s="10">
        <v>42</v>
      </c>
      <c r="B330" s="10">
        <v>5</v>
      </c>
      <c r="C330" s="10">
        <v>20</v>
      </c>
      <c r="D330" s="10" t="s">
        <v>1</v>
      </c>
      <c r="E330" s="15">
        <f>0.69+3.384</f>
        <v>4.0739999999999998</v>
      </c>
    </row>
    <row r="331" spans="1:5" x14ac:dyDescent="0.3">
      <c r="A331" s="8">
        <v>42</v>
      </c>
      <c r="B331" s="8">
        <v>5</v>
      </c>
      <c r="C331" s="8">
        <v>20</v>
      </c>
      <c r="D331" s="8" t="s">
        <v>1</v>
      </c>
      <c r="E331" s="9">
        <v>3</v>
      </c>
    </row>
    <row r="332" spans="1:5" x14ac:dyDescent="0.3">
      <c r="A332" s="10">
        <v>42</v>
      </c>
      <c r="B332" s="10">
        <v>5</v>
      </c>
      <c r="C332" s="10">
        <v>20</v>
      </c>
      <c r="D332" s="10" t="s">
        <v>4</v>
      </c>
      <c r="E332" s="15">
        <f>3.24-0.31-0.052-0.028-0.082-0.016-0.024-0.024-0.009-0.054-0.006-0.028-0.006-0.2-0.016-0.009-0.028-0.025-0.047-0.026-0.026-0.054-0.004-0.027-0.054-0.006-0.023-0.006-0.018-0.011-0.013-0.016-0.011-0.007-0.008</f>
        <v>1.966000000000002</v>
      </c>
    </row>
    <row r="333" spans="1:5" x14ac:dyDescent="0.3">
      <c r="A333" s="10">
        <v>42</v>
      </c>
      <c r="B333" s="10">
        <v>5</v>
      </c>
      <c r="C333" s="10" t="s">
        <v>26</v>
      </c>
      <c r="D333" s="10" t="s">
        <v>4</v>
      </c>
      <c r="E333" s="15">
        <f>2.48-0.099+0.84-0.049-0.05-0.101-0.016-0.006-0.021-0.002-0.011-0.006-0.002-0.001</f>
        <v>2.9560000000000008</v>
      </c>
    </row>
    <row r="334" spans="1:5" x14ac:dyDescent="0.3">
      <c r="A334" s="10">
        <v>42</v>
      </c>
      <c r="B334" s="10">
        <v>5</v>
      </c>
      <c r="C334" s="10">
        <v>35</v>
      </c>
      <c r="D334" s="10" t="s">
        <v>64</v>
      </c>
      <c r="E334" s="15">
        <v>4.4740000000000002</v>
      </c>
    </row>
    <row r="335" spans="1:5" x14ac:dyDescent="0.3">
      <c r="A335" s="10">
        <v>42</v>
      </c>
      <c r="B335" s="10">
        <v>5</v>
      </c>
      <c r="C335" s="10">
        <v>35</v>
      </c>
      <c r="D335" s="10" t="s">
        <v>4</v>
      </c>
      <c r="E335" s="15">
        <f>1.59-0.37-0.057</f>
        <v>1.1630000000000003</v>
      </c>
    </row>
    <row r="336" spans="1:5" x14ac:dyDescent="0.3">
      <c r="A336" s="8">
        <v>42</v>
      </c>
      <c r="B336" s="8">
        <v>5</v>
      </c>
      <c r="C336" s="8" t="s">
        <v>30</v>
      </c>
      <c r="D336" s="8" t="s">
        <v>1</v>
      </c>
      <c r="E336" s="9">
        <v>5</v>
      </c>
    </row>
    <row r="337" spans="1:5" x14ac:dyDescent="0.3">
      <c r="A337" s="10">
        <v>42</v>
      </c>
      <c r="B337" s="10">
        <v>5</v>
      </c>
      <c r="C337" s="10" t="s">
        <v>30</v>
      </c>
      <c r="D337" s="10" t="s">
        <v>4</v>
      </c>
      <c r="E337" s="15">
        <f>1.08-0.215-0.266-0.035-0.453-0.011-0.006-0.02-0.039-0.078+0.065-0.011+0.021+1.05-0.049-0.145</f>
        <v>0.88800000000000012</v>
      </c>
    </row>
    <row r="338" spans="1:5" x14ac:dyDescent="0.3">
      <c r="A338" s="10">
        <v>42</v>
      </c>
      <c r="B338" s="10">
        <v>6</v>
      </c>
      <c r="C338" s="10">
        <v>20</v>
      </c>
      <c r="D338" s="10" t="s">
        <v>64</v>
      </c>
      <c r="E338" s="15">
        <f>5.588-0.007</f>
        <v>5.5810000000000004</v>
      </c>
    </row>
    <row r="339" spans="1:5" x14ac:dyDescent="0.3">
      <c r="A339" s="10">
        <v>42</v>
      </c>
      <c r="B339" s="10">
        <v>6</v>
      </c>
      <c r="C339" s="10" t="s">
        <v>26</v>
      </c>
      <c r="D339" s="10" t="s">
        <v>64</v>
      </c>
      <c r="E339" s="15">
        <v>5</v>
      </c>
    </row>
    <row r="340" spans="1:5" x14ac:dyDescent="0.3">
      <c r="A340" s="10">
        <v>42</v>
      </c>
      <c r="B340" s="10">
        <v>6</v>
      </c>
      <c r="C340" s="10" t="s">
        <v>31</v>
      </c>
      <c r="D340" s="10" t="s">
        <v>32</v>
      </c>
      <c r="E340" s="15">
        <f>0.091-0.05</f>
        <v>4.0999999999999995E-2</v>
      </c>
    </row>
    <row r="341" spans="1:5" x14ac:dyDescent="0.3">
      <c r="A341" s="10">
        <v>42</v>
      </c>
      <c r="B341" s="10">
        <v>6.5</v>
      </c>
      <c r="C341" s="10">
        <v>20</v>
      </c>
      <c r="D341" s="10" t="s">
        <v>4</v>
      </c>
      <c r="E341" s="15">
        <f>1.07-0.007-0.007-0.045-0.007-0.013-0.039-0.175-0.042-0.023-0.086-0.023-0.2+0.023-0.008-0.019-0.005-0.015-0.004-0.021-0.045-0.037-0.016</f>
        <v>0.25600000000000028</v>
      </c>
    </row>
    <row r="342" spans="1:5" x14ac:dyDescent="0.3">
      <c r="A342" s="10">
        <v>42</v>
      </c>
      <c r="B342" s="10">
        <v>6.5</v>
      </c>
      <c r="C342" s="10" t="s">
        <v>26</v>
      </c>
      <c r="D342" s="10" t="s">
        <v>4</v>
      </c>
      <c r="E342" s="15">
        <f>1.06-0.007-0.007-0.007-0.007-0.28-0.039-0.017</f>
        <v>0.6960000000000004</v>
      </c>
    </row>
    <row r="343" spans="1:5" x14ac:dyDescent="0.3">
      <c r="A343" s="10">
        <v>42</v>
      </c>
      <c r="B343" s="10">
        <v>7</v>
      </c>
      <c r="C343" s="10">
        <v>20</v>
      </c>
      <c r="D343" s="10" t="s">
        <v>4</v>
      </c>
      <c r="E343" s="15">
        <f>2.615-0.052-0.05-0.097-0.114-0.054-0.108+0.02-0.02-0.054-0.16-0.055-0.007-0.004-0.095-0.05-0.02-0.006-0.021-0.032-0.04-0.015-0.022-0.021-0.021-0.02</f>
        <v>1.4970000000000012</v>
      </c>
    </row>
    <row r="344" spans="1:5" x14ac:dyDescent="0.3">
      <c r="A344" s="10">
        <v>42</v>
      </c>
      <c r="B344" s="10">
        <v>7</v>
      </c>
      <c r="C344" s="10" t="s">
        <v>31</v>
      </c>
      <c r="D344" s="10" t="s">
        <v>32</v>
      </c>
      <c r="E344" s="15">
        <v>0.90300000000000002</v>
      </c>
    </row>
    <row r="345" spans="1:5" x14ac:dyDescent="0.3">
      <c r="A345" s="10">
        <v>42</v>
      </c>
      <c r="B345" s="10">
        <v>8</v>
      </c>
      <c r="C345" s="10">
        <v>20</v>
      </c>
      <c r="D345" s="10" t="s">
        <v>1</v>
      </c>
      <c r="E345" s="15">
        <f>9.17+2.38-0.174-0.008-0.011-0.015-0.018-0.074-0.077-0.058-0.162-0.047-0.124-0.008-0.022-0.162-0.008-0.048-0.015-0.015-0.041-0.011-0.005-0.083-0.165-0.029-0.026-0.01-0.036-0.008-0.049-0.008-0.033-0.044-0.076-0.015-0.16-0.76-0.008-0.075-0.083-0.243-0.008-0.04-0.075-0.081-0.003-0.011-0.079-0.23-0.011-0.004-0.081-0.003-0.015-0.081-0.243-0.012-0.073</f>
        <v>7.4860000000000051</v>
      </c>
    </row>
    <row r="346" spans="1:5" x14ac:dyDescent="0.3">
      <c r="A346" s="10">
        <v>42</v>
      </c>
      <c r="B346" s="10">
        <v>8</v>
      </c>
      <c r="C346" s="10" t="s">
        <v>26</v>
      </c>
      <c r="D346" s="10" t="s">
        <v>64</v>
      </c>
      <c r="E346" s="15">
        <v>5</v>
      </c>
    </row>
    <row r="347" spans="1:5" x14ac:dyDescent="0.3">
      <c r="A347" s="10">
        <v>42</v>
      </c>
      <c r="B347" s="10">
        <v>8</v>
      </c>
      <c r="C347" s="10" t="s">
        <v>26</v>
      </c>
      <c r="D347" s="10" t="s">
        <v>4</v>
      </c>
      <c r="E347" s="15">
        <f>1.05-0.004-0.004-0.006</f>
        <v>1.036</v>
      </c>
    </row>
    <row r="348" spans="1:5" x14ac:dyDescent="0.3">
      <c r="A348" s="10">
        <v>42</v>
      </c>
      <c r="B348" s="10">
        <v>8</v>
      </c>
      <c r="C348" s="10" t="s">
        <v>28</v>
      </c>
      <c r="D348" s="10" t="s">
        <v>1</v>
      </c>
      <c r="E348" s="15">
        <f>0.83+4.19-0.143-0.07+0.035-0.064-0.035-0.427-0.066-0.071-0.026-0.145-0.015-0.22-0.03-0.235-0.008-0.054-0.133-0.065-0.81-0.13-0.411-0.021-0.332-0.53-0.83-0.323+0.165</f>
        <v>2.6000000000002049E-2</v>
      </c>
    </row>
    <row r="349" spans="1:5" x14ac:dyDescent="0.3">
      <c r="A349" s="10">
        <v>42</v>
      </c>
      <c r="B349" s="10">
        <v>8</v>
      </c>
      <c r="C349" s="10" t="s">
        <v>28</v>
      </c>
      <c r="D349" s="10" t="s">
        <v>1</v>
      </c>
      <c r="E349" s="15">
        <f>0.53+0.83-0.144+0.134+0.323+0.14-0.015-0.056-0.015-0.015-0.009-0.015-0.015-0.072-0.01-0.265-0.046-0.026-0.275-0.006-0.003</f>
        <v>0.97000000000000042</v>
      </c>
    </row>
    <row r="350" spans="1:5" x14ac:dyDescent="0.3">
      <c r="A350" s="10">
        <v>42</v>
      </c>
      <c r="B350" s="10">
        <v>8</v>
      </c>
      <c r="C350" s="10" t="s">
        <v>30</v>
      </c>
      <c r="D350" s="10" t="s">
        <v>1</v>
      </c>
      <c r="E350" s="15">
        <f>2.3+1.59-0.06-0.07-0.134-0.136+0.045-0.045-0.207-0.055-2.095-0.008-0.008-0.022-0.198-0.15-0.175-0.127-0.004-0.128-0.131-0.052-0.13+0.13+3.2-0.138-0.418-0.224-0.003-0.06-0.084-0.005-0.086-0.49-0.008-0.28-0.098-0.076-0.063-0.22-0.016-0.016-0.008-0.071-0.899</f>
        <v>6.6999999999999282E-2</v>
      </c>
    </row>
    <row r="351" spans="1:5" x14ac:dyDescent="0.3">
      <c r="A351" s="10">
        <v>42</v>
      </c>
      <c r="B351" s="10">
        <v>8</v>
      </c>
      <c r="C351" s="10" t="s">
        <v>30</v>
      </c>
      <c r="D351" s="10" t="s">
        <v>1</v>
      </c>
      <c r="E351" s="15">
        <f>0.117+6.686-0.008-0.004-0.377-0.075-0.148-4.067-0.007-0.415-0.432-0.008-0.148-0.044-0.299-0.033-0.008-0.008-0.033-0.075-0.225-0.039-0.096-0.223+0.135-0.147+0.3-0.075-0.022-0.019-0.012-0.023-0.003-0.044-0.006-0.022</f>
        <v>9.3000000000000554E-2</v>
      </c>
    </row>
    <row r="352" spans="1:5" x14ac:dyDescent="0.3">
      <c r="A352" s="8">
        <v>42</v>
      </c>
      <c r="B352" s="8">
        <v>8</v>
      </c>
      <c r="C352" s="8" t="s">
        <v>30</v>
      </c>
      <c r="D352" s="8" t="s">
        <v>1</v>
      </c>
      <c r="E352" s="9">
        <v>5</v>
      </c>
    </row>
    <row r="353" spans="1:5" x14ac:dyDescent="0.3">
      <c r="A353" s="10">
        <v>42</v>
      </c>
      <c r="B353" s="10">
        <v>8</v>
      </c>
      <c r="C353" s="10" t="s">
        <v>30</v>
      </c>
      <c r="D353" s="10" t="s">
        <v>4</v>
      </c>
      <c r="E353" s="15">
        <f>0.93-0.26-0.023-0.11-0.23-0.008-0.115-0.023+0.068</f>
        <v>0.22900000000000006</v>
      </c>
    </row>
    <row r="354" spans="1:5" x14ac:dyDescent="0.3">
      <c r="A354" s="10">
        <v>42</v>
      </c>
      <c r="B354" s="10">
        <v>10</v>
      </c>
      <c r="C354" s="10">
        <v>20</v>
      </c>
      <c r="D354" s="10" t="s">
        <v>1</v>
      </c>
      <c r="E354" s="15">
        <f>4.875-0.503-0.164-0.083-0.013-0.009-0.082-0.17-0.01-0.009-0.164-0.336-0.08-0.084-0.05-0.043-0.011-1.96-1.16+0.077</f>
        <v>2.1000000000000171E-2</v>
      </c>
    </row>
    <row r="355" spans="1:5" x14ac:dyDescent="0.3">
      <c r="A355" s="10">
        <v>42</v>
      </c>
      <c r="B355" s="10">
        <v>10</v>
      </c>
      <c r="C355" s="10">
        <v>20</v>
      </c>
      <c r="D355" s="10" t="s">
        <v>64</v>
      </c>
      <c r="E355" s="15">
        <f>5.989+0.3</f>
        <v>6.2889999999999997</v>
      </c>
    </row>
    <row r="356" spans="1:5" x14ac:dyDescent="0.3">
      <c r="A356" s="10">
        <v>42</v>
      </c>
      <c r="B356" s="10">
        <v>10</v>
      </c>
      <c r="C356" s="10" t="s">
        <v>26</v>
      </c>
      <c r="D356" s="10" t="s">
        <v>64</v>
      </c>
      <c r="E356" s="15">
        <f>3.705-0.353-0.087-0.307-0.038-0.087-0.27-0.04-0.086-0.018-0.09-0.42-0.003-1.96+0.12</f>
        <v>6.6000000000000836E-2</v>
      </c>
    </row>
    <row r="357" spans="1:5" x14ac:dyDescent="0.3">
      <c r="A357" s="10">
        <v>42</v>
      </c>
      <c r="B357" s="10">
        <v>10</v>
      </c>
      <c r="C357" s="10" t="s">
        <v>26</v>
      </c>
      <c r="D357" s="10" t="s">
        <v>64</v>
      </c>
      <c r="E357" s="15">
        <f>1.96-0.09-0.176-0.005-0.009-0.176-0.089-0.009-0.026-0.072-0.051-0.017-0.005-0.041-0.152-0.017-0.115-0.165-0.089-0.018-0.087-0.017-0.013-0.026-0.26-0.038-0.039-0.051-0.046</f>
        <v>6.1000000000000762E-2</v>
      </c>
    </row>
    <row r="358" spans="1:5" x14ac:dyDescent="0.3">
      <c r="A358" s="10">
        <v>42</v>
      </c>
      <c r="B358" s="10">
        <v>10</v>
      </c>
      <c r="C358" s="10" t="s">
        <v>26</v>
      </c>
      <c r="D358" s="10" t="s">
        <v>64</v>
      </c>
      <c r="E358" s="15">
        <f>4.44-0.23-0.156-0.018-0.078+1.181-0.005-0.009-0.009-0.08-0.16-0.08-0.079-0.007+0.378-0.081-0.005-0.005</f>
        <v>4.9970000000000008</v>
      </c>
    </row>
    <row r="359" spans="1:5" x14ac:dyDescent="0.3">
      <c r="A359" s="10">
        <v>42</v>
      </c>
      <c r="B359" s="10">
        <v>10</v>
      </c>
      <c r="C359" s="10" t="s">
        <v>26</v>
      </c>
      <c r="D359" s="10" t="s">
        <v>4</v>
      </c>
      <c r="E359" s="15">
        <f>1.22+0.69-0.011-0.009</f>
        <v>1.8900000000000001</v>
      </c>
    </row>
    <row r="360" spans="1:5" x14ac:dyDescent="0.3">
      <c r="A360" s="10">
        <v>42</v>
      </c>
      <c r="B360" s="10">
        <v>10</v>
      </c>
      <c r="C360" s="10">
        <v>35</v>
      </c>
      <c r="D360" s="10" t="s">
        <v>1</v>
      </c>
      <c r="E360" s="15">
        <f>0.377+5.426-2.49-0.385-0.08-0.025-0.08-0.051-0.079-0.236-0.314-0.076-0.05-0.025-0.54-0.05-0.077-0.158-0.159-0.025-0.002</f>
        <v>0.90099999999999969</v>
      </c>
    </row>
    <row r="361" spans="1:5" x14ac:dyDescent="0.3">
      <c r="A361" s="10">
        <v>42</v>
      </c>
      <c r="B361" s="10">
        <v>10</v>
      </c>
      <c r="C361" s="10">
        <v>45</v>
      </c>
      <c r="D361" s="10" t="s">
        <v>1</v>
      </c>
      <c r="E361" s="15">
        <f>0.52+3.306+2.853-0.08-3.306-0.081-0.24-1.55-0.017-0.3-0.166-0.013-0.078-0.033-0.16+0.038-0.161-0.161-0.017-0.01-0.318-0.006-0.002-0.023+0.2-0.002</f>
        <v>0.19300000000000031</v>
      </c>
    </row>
    <row r="362" spans="1:5" x14ac:dyDescent="0.3">
      <c r="A362" s="10">
        <v>42</v>
      </c>
      <c r="B362" s="10">
        <v>10</v>
      </c>
      <c r="C362" s="10">
        <v>45</v>
      </c>
      <c r="D362" s="10" t="s">
        <v>64</v>
      </c>
      <c r="E362" s="15">
        <v>5.6050000000000004</v>
      </c>
    </row>
    <row r="363" spans="1:5" x14ac:dyDescent="0.3">
      <c r="A363" s="10">
        <v>42</v>
      </c>
      <c r="B363" s="10">
        <v>10</v>
      </c>
      <c r="C363" s="10" t="s">
        <v>28</v>
      </c>
      <c r="D363" s="10" t="s">
        <v>1</v>
      </c>
      <c r="E363" s="15">
        <f>1.43+1.52+1.74+0.063-0.017-0.081-0.162-0.081-0.083-0.726-0.025-1.06-0.158-0.012-0.081-0.063-0.052-0.39-0.158-0.75-0.025</f>
        <v>0.82899999999999874</v>
      </c>
    </row>
    <row r="364" spans="1:5" x14ac:dyDescent="0.3">
      <c r="A364" s="10">
        <v>42</v>
      </c>
      <c r="B364" s="10">
        <v>10</v>
      </c>
      <c r="C364" s="10" t="s">
        <v>30</v>
      </c>
      <c r="D364" s="10" t="s">
        <v>1</v>
      </c>
      <c r="E364" s="15">
        <f>5.14-0.71-0.051-3-0.615-0.2-0.051-0.05-0.102-0.012-0.012-0.051-0.017-0.051</f>
        <v>0.21799999999999958</v>
      </c>
    </row>
    <row r="365" spans="1:5" x14ac:dyDescent="0.3">
      <c r="A365" s="8">
        <v>42</v>
      </c>
      <c r="B365" s="8">
        <v>10</v>
      </c>
      <c r="C365" s="8" t="s">
        <v>30</v>
      </c>
      <c r="D365" s="8" t="s">
        <v>1</v>
      </c>
      <c r="E365" s="9">
        <v>5</v>
      </c>
    </row>
    <row r="366" spans="1:5" x14ac:dyDescent="0.3">
      <c r="A366" s="10">
        <v>42</v>
      </c>
      <c r="B366" s="10">
        <v>12</v>
      </c>
      <c r="C366" s="10">
        <v>20</v>
      </c>
      <c r="D366" s="10" t="s">
        <v>64</v>
      </c>
      <c r="E366" s="15">
        <v>5</v>
      </c>
    </row>
    <row r="367" spans="1:5" x14ac:dyDescent="0.3">
      <c r="A367" s="10">
        <v>42</v>
      </c>
      <c r="B367" s="10">
        <v>12</v>
      </c>
      <c r="C367" s="10" t="s">
        <v>26</v>
      </c>
      <c r="D367" s="10" t="s">
        <v>64</v>
      </c>
      <c r="E367" s="15">
        <f>1.62+0.613+1.958</f>
        <v>4.1909999999999998</v>
      </c>
    </row>
    <row r="368" spans="1:5" x14ac:dyDescent="0.3">
      <c r="A368" s="10">
        <v>42</v>
      </c>
      <c r="B368" s="10">
        <v>12</v>
      </c>
      <c r="C368" s="10" t="s">
        <v>26</v>
      </c>
      <c r="D368" s="10" t="s">
        <v>64</v>
      </c>
      <c r="E368" s="15">
        <f>5-2.233-1.958</f>
        <v>0.80899999999999994</v>
      </c>
    </row>
    <row r="369" spans="1:5" x14ac:dyDescent="0.3">
      <c r="A369" s="10">
        <v>45</v>
      </c>
      <c r="B369" s="10">
        <v>2</v>
      </c>
      <c r="C369" s="10">
        <v>20</v>
      </c>
      <c r="D369" s="10" t="s">
        <v>4</v>
      </c>
      <c r="E369" s="15">
        <f>2.004-0.016-0.016-0.042-0.003-0.016</f>
        <v>1.911</v>
      </c>
    </row>
    <row r="370" spans="1:5" x14ac:dyDescent="0.3">
      <c r="A370" s="24">
        <v>45</v>
      </c>
      <c r="B370" s="24">
        <v>2.5</v>
      </c>
      <c r="C370" s="24">
        <v>20</v>
      </c>
      <c r="D370" s="24" t="s">
        <v>4</v>
      </c>
      <c r="E370" s="25">
        <f>0.99-0.11-0.004-0.007-0.004-0.028-0.26-0.034-0.37-0.013-0.009-0.033-0.032-0.033-0.002-0.001-0.009-0.1+0.192-0.028-0.015-0.003-0.001-0.01</f>
        <v>7.5999999999999901E-2</v>
      </c>
    </row>
    <row r="371" spans="1:5" x14ac:dyDescent="0.3">
      <c r="A371" s="10">
        <v>45</v>
      </c>
      <c r="B371" s="10">
        <v>2.5</v>
      </c>
      <c r="C371" s="10" t="s">
        <v>26</v>
      </c>
      <c r="D371" s="10" t="s">
        <v>4</v>
      </c>
      <c r="E371" s="15">
        <f>3.18-0.028-0.024-0.004-0.06-0.002-0.105-0.22-0.005</f>
        <v>2.7320000000000002</v>
      </c>
    </row>
    <row r="372" spans="1:5" x14ac:dyDescent="0.3">
      <c r="A372" s="10">
        <v>45</v>
      </c>
      <c r="B372" s="10">
        <v>3.5</v>
      </c>
      <c r="C372" s="10">
        <v>20</v>
      </c>
      <c r="D372" s="10" t="s">
        <v>1</v>
      </c>
      <c r="E372" s="15">
        <f>2.865-0.08-0.033-0.003-0.002-0.243-0.003-0.003-0.006-0.002-0.001-0.023-0.009-0.002-0.003-0.191-0.523-0.002-0.075-0.041-0.076-0.1-1.35-0.032-0.002-0.034-0.009-0.023+0.03-0.007</f>
        <v>1.7000000000000744E-2</v>
      </c>
    </row>
    <row r="373" spans="1:5" x14ac:dyDescent="0.3">
      <c r="A373" s="10">
        <v>45</v>
      </c>
      <c r="B373" s="10">
        <v>3.5</v>
      </c>
      <c r="C373" s="10">
        <v>20</v>
      </c>
      <c r="D373" s="10" t="s">
        <v>1</v>
      </c>
      <c r="E373" s="15">
        <f>0.088-0.01-0.033+0.023-0.005-0.037-0.01+0.007-0.005-0.004-0.006-0.002</f>
        <v>5.9999999999999984E-3</v>
      </c>
    </row>
    <row r="374" spans="1:5" x14ac:dyDescent="0.3">
      <c r="A374" s="8">
        <v>45</v>
      </c>
      <c r="B374" s="8">
        <v>3.5</v>
      </c>
      <c r="C374" s="10">
        <v>20</v>
      </c>
      <c r="D374" s="10" t="s">
        <v>8</v>
      </c>
      <c r="E374" s="9">
        <f>0.027-0.023+0.004-0.005</f>
        <v>3.0000000000000001E-3</v>
      </c>
    </row>
    <row r="375" spans="1:5" x14ac:dyDescent="0.3">
      <c r="A375" s="10">
        <v>45</v>
      </c>
      <c r="B375" s="10">
        <v>3.5</v>
      </c>
      <c r="C375" s="10">
        <v>20</v>
      </c>
      <c r="D375" s="10" t="s">
        <v>4</v>
      </c>
      <c r="E375" s="15">
        <f>4.97-0.003-0.12-0.039-0.009-0.008-0.002-0.022-0.008-0.025-0.011-0.004-0.001-0.003-0.001-0.15-0.04-0.007-0.11-0.025-0.017-0.018-0.004-0.042-0.005-0.011-0.011-0.003</f>
        <v>4.2709999999999981</v>
      </c>
    </row>
    <row r="376" spans="1:5" x14ac:dyDescent="0.3">
      <c r="A376" s="10">
        <v>45</v>
      </c>
      <c r="B376" s="10">
        <v>3.5</v>
      </c>
      <c r="C376" s="10" t="s">
        <v>26</v>
      </c>
      <c r="D376" s="10" t="s">
        <v>1</v>
      </c>
      <c r="E376" s="15">
        <f>1.085-0.009-0.006-0.073-0.005-0.041-0.036-0.041-0.016-0.013-0.038-0.018-0.038-0.005-0.009-0.077-0.126-0.039-0.001-0.013-0.223-0.005-0.038-0.04-0.033-0.017-0.026-0.021-0.038-0.03-0.031+0.172-0.009-0.005-0.041</f>
        <v>9.5999999999999835E-2</v>
      </c>
    </row>
    <row r="377" spans="1:5" x14ac:dyDescent="0.3">
      <c r="A377" s="10">
        <v>45</v>
      </c>
      <c r="B377" s="10">
        <v>3.5</v>
      </c>
      <c r="C377" s="10" t="s">
        <v>26</v>
      </c>
      <c r="D377" s="10" t="s">
        <v>4</v>
      </c>
      <c r="E377" s="15">
        <f>1.89+1.35-0.005-0.08-0.009-0.009-0.009-0.08-0.005-0.004-0.015-0.09-0.002-0.009-0.013-0.011-0.04-0.005-0.004-0.002-0.005-0.04-0.2-0.005-0.028-0.017-0.021-0.021-0.003-0.005-0.16-0.005-0.002-0.002-0.006-0.157-0.039-0.046-0.013-0.046-0.027-0.006</f>
        <v>1.9940000000000022</v>
      </c>
    </row>
    <row r="378" spans="1:5" x14ac:dyDescent="0.3">
      <c r="A378" s="10">
        <v>45</v>
      </c>
      <c r="B378" s="10">
        <v>4</v>
      </c>
      <c r="C378" s="10">
        <v>20</v>
      </c>
      <c r="D378" s="10" t="s">
        <v>1</v>
      </c>
      <c r="E378" s="15">
        <f>0.013-0.005-0.006-0.002+0.002</f>
        <v>2E-3</v>
      </c>
    </row>
    <row r="379" spans="1:5" x14ac:dyDescent="0.3">
      <c r="A379" s="10">
        <v>45</v>
      </c>
      <c r="B379" s="10">
        <v>4</v>
      </c>
      <c r="C379" s="10">
        <v>20</v>
      </c>
      <c r="D379" s="10" t="s">
        <v>1</v>
      </c>
      <c r="E379" s="15">
        <f>2.935-0.035-0.007-0.008-0.084-0.003-0.08-0.01-0.019-0.005-0.124-0.005-0.028-0.166-2.23-0.056-0.011-0.008-0.014-0.028+0.1-0.074</f>
        <v>3.99999999999998E-2</v>
      </c>
    </row>
    <row r="380" spans="1:5" x14ac:dyDescent="0.3">
      <c r="A380" s="10">
        <v>45</v>
      </c>
      <c r="B380" s="10">
        <v>4</v>
      </c>
      <c r="C380" s="10">
        <v>20</v>
      </c>
      <c r="D380" s="10" t="s">
        <v>1</v>
      </c>
      <c r="E380" s="15">
        <f>2.23-0.124+0.074-0.007-0.225-0.19-0.018-0.98-0.078-0.083-0.008-0.003-0.55+0.1-0.005-0.028-0.062-0.005-0.005-0.004</f>
        <v>2.8999999999999599E-2</v>
      </c>
    </row>
    <row r="381" spans="1:5" x14ac:dyDescent="0.3">
      <c r="A381" s="8">
        <v>45</v>
      </c>
      <c r="B381" s="8">
        <v>4</v>
      </c>
      <c r="C381" s="8">
        <v>20</v>
      </c>
      <c r="D381" s="8" t="s">
        <v>1</v>
      </c>
      <c r="E381" s="9">
        <v>3</v>
      </c>
    </row>
    <row r="382" spans="1:5" x14ac:dyDescent="0.3">
      <c r="A382" s="10">
        <v>45</v>
      </c>
      <c r="B382" s="10">
        <v>4</v>
      </c>
      <c r="C382" s="10" t="s">
        <v>26</v>
      </c>
      <c r="D382" s="10" t="s">
        <v>64</v>
      </c>
      <c r="E382" s="15">
        <f>5.179-0.27-0.017-0.046-0.019-0.09-0.005-0.08-0.17-0.003-0.006-0.34-0.043-0.005-0.129-0.035-0.003-0.011-0.092-0.015-0.014-0.003-0.001-0.003-0.005-0.003-0.092-0.08-0.029-0.003-0.005-0.044-0.005-0.123-0.019-0.044-0.028-0.065-0.046-0.008-0.005-0.002-0.002-0.003-0.003-0.12-0.011-0.019-0.008-0.01-0.013-0.01-0.002-0.045-0.05-0.165-0.008-0.005-0.047-0.092-0.015-0.005-0.014-0.01-0.014</f>
        <v>2.5020000000000011</v>
      </c>
    </row>
    <row r="383" spans="1:5" x14ac:dyDescent="0.3">
      <c r="A383" s="13">
        <v>45</v>
      </c>
      <c r="B383" s="13">
        <v>4</v>
      </c>
      <c r="C383" s="13" t="s">
        <v>26</v>
      </c>
      <c r="D383" s="13" t="s">
        <v>2</v>
      </c>
      <c r="E383" s="16">
        <f>0.83-0.002-0.01-0.005-0.003+0.086-0.007-0.005+0.04-0.041-0.081-0.006-0.038-0.081+0.002-0.439-0.005-0.005-0.005-0.08-0.028-0.04-0.041+0.056-0.007-0.001-0.001-0.012-0.005-0.006-0.002-0.005-0.005-0.009</f>
        <v>3.8999999999999896E-2</v>
      </c>
    </row>
    <row r="384" spans="1:5" x14ac:dyDescent="0.3">
      <c r="A384" s="10">
        <v>45</v>
      </c>
      <c r="B384" s="10">
        <v>4</v>
      </c>
      <c r="C384" s="10" t="s">
        <v>26</v>
      </c>
      <c r="D384" s="10" t="s">
        <v>4</v>
      </c>
      <c r="E384" s="15">
        <f>1.25-0.005-0.011-0.003+1.03-0.019-1.03-1.3+0.15-0.002-0.019-0.018</f>
        <v>2.2999999999999913E-2</v>
      </c>
    </row>
    <row r="385" spans="1:5" x14ac:dyDescent="0.3">
      <c r="A385" s="10">
        <v>45</v>
      </c>
      <c r="B385" s="10">
        <v>4</v>
      </c>
      <c r="C385" s="10" t="s">
        <v>26</v>
      </c>
      <c r="D385" s="10" t="s">
        <v>4</v>
      </c>
      <c r="E385" s="15">
        <f>1.03+1.3-0.005+0.002-0.001-0.07-0.005+1.25-0.002-0.008-0.04-0.001-0.01-0.275-0.012-0.008-0.003-0.005-0.003-0.005-0.036-0.01-0.036-0.01+0.018-0.012-0.009-0.028-0.035-0.016-0.022-0.009-0.008-0.112+0.012-0.005-0.029-0.01</f>
        <v>2.7720000000000016</v>
      </c>
    </row>
    <row r="386" spans="1:5" x14ac:dyDescent="0.3">
      <c r="A386" s="10">
        <v>45</v>
      </c>
      <c r="B386" s="10">
        <v>5</v>
      </c>
      <c r="C386" s="10">
        <v>20</v>
      </c>
      <c r="D386" s="10" t="s">
        <v>1</v>
      </c>
      <c r="E386" s="15">
        <f>4.625-0.035-0.085-0.017-0.033-0.093-0.006-0.103-0.033-0.287-0.115-0.103-0.052-0.052-0.006-0.155-0.011-0.103-0.051-0.046-0.62-0.052-0.076-0.028-0.052-0.15+0.037-0.002-0.046-0.006-0.045-0.28-0.155-0.006-0.103-0.033-0.005-0.022-0.01-0.052-0.27-0.075-0.003-0.103-0.052-0.014-0.015-0.015-0.025-0.155-0.006-0.009-0.002-0.007-0.15-0.034-0.007-0.004</f>
        <v>0.58699999999999908</v>
      </c>
    </row>
    <row r="387" spans="1:5" x14ac:dyDescent="0.3">
      <c r="A387" s="10">
        <v>45</v>
      </c>
      <c r="B387" s="10">
        <v>5</v>
      </c>
      <c r="C387" s="10" t="s">
        <v>26</v>
      </c>
      <c r="D387" s="10" t="s">
        <v>1</v>
      </c>
      <c r="E387" s="15">
        <f>11.68-0.017-0.054-0.077-0.033-0.031-0.017-0.011-0.031-0.02-0.027-0.017-0.54-0.033-0.051-0.006-0.006-0.004-0.1-0.006-0.61-0.017-0.027-0.006-0.009-0.011-0.48-0.055-0.012-9.37+0.07-0.002-0.002-0.013-0.015-0.041+0.008</f>
        <v>7.0000000000060014E-3</v>
      </c>
    </row>
    <row r="388" spans="1:5" x14ac:dyDescent="0.3">
      <c r="A388" s="10">
        <v>45</v>
      </c>
      <c r="B388" s="10">
        <v>5</v>
      </c>
      <c r="C388" s="10" t="s">
        <v>26</v>
      </c>
      <c r="D388" s="10" t="s">
        <v>1</v>
      </c>
      <c r="E388" s="15">
        <f>9.37-0.058-0.053-0.645+0.002-0.001+0.013-5-0.052-2.66-0.011-0.15+0.015-0.214-0.213+0.041-0.041-0.002-0.004</f>
        <v>0.33699999999999997</v>
      </c>
    </row>
    <row r="389" spans="1:5" x14ac:dyDescent="0.3">
      <c r="A389" s="10">
        <v>45</v>
      </c>
      <c r="B389" s="10">
        <v>5</v>
      </c>
      <c r="C389" s="10" t="s">
        <v>26</v>
      </c>
      <c r="D389" s="10" t="s">
        <v>64</v>
      </c>
      <c r="E389" s="15">
        <f>8.374-0.012</f>
        <v>8.3620000000000001</v>
      </c>
    </row>
    <row r="390" spans="1:5" x14ac:dyDescent="0.3">
      <c r="A390" s="10">
        <v>45</v>
      </c>
      <c r="B390" s="10">
        <v>5</v>
      </c>
      <c r="C390" s="10" t="s">
        <v>26</v>
      </c>
      <c r="D390" s="10" t="s">
        <v>64</v>
      </c>
      <c r="E390" s="15">
        <f>10-8.374</f>
        <v>1.6259999999999994</v>
      </c>
    </row>
    <row r="391" spans="1:5" x14ac:dyDescent="0.3">
      <c r="A391" s="10">
        <v>45</v>
      </c>
      <c r="B391" s="10">
        <v>5</v>
      </c>
      <c r="C391" s="10" t="s">
        <v>26</v>
      </c>
      <c r="D391" s="10" t="s">
        <v>4</v>
      </c>
      <c r="E391" s="15">
        <f>3.2-0.017-0.219-0.009-0.011-0.03-0.002-0.006-0.024-0.108-0.111-0.008-0.002</f>
        <v>2.6530000000000009</v>
      </c>
    </row>
    <row r="392" spans="1:5" x14ac:dyDescent="0.3">
      <c r="A392" s="10">
        <v>45</v>
      </c>
      <c r="B392" s="10">
        <v>5</v>
      </c>
      <c r="C392" s="10" t="s">
        <v>30</v>
      </c>
      <c r="D392" s="10" t="s">
        <v>1</v>
      </c>
      <c r="E392" s="15">
        <f>3.981-0.054-0.108-0.195+2.022-0.106-0.161</f>
        <v>5.3790000000000004</v>
      </c>
    </row>
    <row r="393" spans="1:5" x14ac:dyDescent="0.3">
      <c r="A393" s="8">
        <v>45</v>
      </c>
      <c r="B393" s="8">
        <v>5.5</v>
      </c>
      <c r="C393" s="8">
        <v>20</v>
      </c>
      <c r="D393" s="8" t="s">
        <v>4</v>
      </c>
      <c r="E393" s="9">
        <f>3.09-0.012-0.007-0.015-0.06</f>
        <v>2.9959999999999996</v>
      </c>
    </row>
    <row r="394" spans="1:5" x14ac:dyDescent="0.3">
      <c r="A394" s="10">
        <v>45</v>
      </c>
      <c r="B394" s="10">
        <v>5.5</v>
      </c>
      <c r="C394" s="10" t="s">
        <v>26</v>
      </c>
      <c r="D394" s="10" t="s">
        <v>4</v>
      </c>
      <c r="E394" s="15">
        <f>1.03-0.017-0.095</f>
        <v>0.91800000000000015</v>
      </c>
    </row>
    <row r="395" spans="1:5" x14ac:dyDescent="0.3">
      <c r="A395" s="10">
        <v>45</v>
      </c>
      <c r="B395" s="10">
        <v>6</v>
      </c>
      <c r="C395" s="10">
        <v>20</v>
      </c>
      <c r="D395" s="10" t="s">
        <v>1</v>
      </c>
      <c r="E395" s="15">
        <f>2.185-0.007-0.016-0.006-0.019-0.013+0.013-0.06-0.015-0.062-0.006-0.007-0.019-0.059-0.18-0.117-0.29-0.245-0.01-0.49-0.062-0.052-0.12-0.031-0.044-0.004</f>
        <v>0.26399999999999996</v>
      </c>
    </row>
    <row r="396" spans="1:5" x14ac:dyDescent="0.3">
      <c r="A396" s="10">
        <v>45</v>
      </c>
      <c r="B396" s="10">
        <v>6</v>
      </c>
      <c r="C396" s="10">
        <v>20</v>
      </c>
      <c r="D396" s="10" t="s">
        <v>1</v>
      </c>
      <c r="E396" s="15">
        <v>8.9999999999999993E-3</v>
      </c>
    </row>
    <row r="397" spans="1:5" x14ac:dyDescent="0.3">
      <c r="A397" s="10">
        <v>45</v>
      </c>
      <c r="B397" s="10">
        <v>6</v>
      </c>
      <c r="C397" s="10">
        <v>20</v>
      </c>
      <c r="D397" s="10" t="s">
        <v>1</v>
      </c>
      <c r="E397" s="15">
        <f>0.49+0.052-0.117-0.059+0.031-0.012-0.171-0.02+0.044-0.007-0.008-0.03</f>
        <v>0.19299999999999998</v>
      </c>
    </row>
    <row r="398" spans="1:5" x14ac:dyDescent="0.3">
      <c r="A398" s="8">
        <v>45</v>
      </c>
      <c r="B398" s="8">
        <v>6</v>
      </c>
      <c r="C398" s="8">
        <v>20</v>
      </c>
      <c r="D398" s="8" t="s">
        <v>1</v>
      </c>
      <c r="E398" s="9">
        <v>3</v>
      </c>
    </row>
    <row r="399" spans="1:5" x14ac:dyDescent="0.3">
      <c r="A399" s="8">
        <v>45</v>
      </c>
      <c r="B399" s="8">
        <v>6</v>
      </c>
      <c r="C399" s="8">
        <v>20</v>
      </c>
      <c r="D399" s="8" t="s">
        <v>4</v>
      </c>
      <c r="E399" s="9">
        <f>0.11-0.011-0.016-0.004-0.012-0.02+1.74-0.016-0.019-0.013-0.063-0.063-0.038-0.016-0.063+0.99-0.017-0.009-0.076-0.038-0.014-0.019-0.01-0.013</f>
        <v>2.2900000000000009</v>
      </c>
    </row>
    <row r="400" spans="1:5" x14ac:dyDescent="0.3">
      <c r="A400" s="10">
        <v>45</v>
      </c>
      <c r="B400" s="10">
        <v>6</v>
      </c>
      <c r="C400" s="10" t="s">
        <v>26</v>
      </c>
      <c r="D400" s="10" t="s">
        <v>64</v>
      </c>
      <c r="E400" s="15">
        <f>0.015+0.061-0.025+0.017-0.003+0.037+5.685-0.005-0.038-0.013-0.037-0.022-0.011-0.05-0.007-0.085-0.045-0.075-0.007-0.08-0.043-0.009-0.042-0.086-0.047-0.094-0.046-0.007-0.042-0.09-0.047-0.17-0.013-0.071-0.013-0.043-0.007-0.068-0.019-0.042-0.007-0.201-0.005-0.005-0.043-0.042-0.029-0.003-0.03-0.003-0.008-0.015-0.046-0.019-0.019-0.046-0.117-0.155-0.004-0.14-0.018</f>
        <v>3.3580000000000028</v>
      </c>
    </row>
    <row r="401" spans="1:5" x14ac:dyDescent="0.3">
      <c r="A401" s="10">
        <v>45</v>
      </c>
      <c r="B401" s="10">
        <v>6.5</v>
      </c>
      <c r="C401" s="10" t="s">
        <v>26</v>
      </c>
      <c r="D401" s="10" t="s">
        <v>4</v>
      </c>
      <c r="E401" s="15">
        <f>1.01-0.084-0.017</f>
        <v>0.90900000000000003</v>
      </c>
    </row>
    <row r="402" spans="1:5" x14ac:dyDescent="0.3">
      <c r="A402" s="10">
        <v>45</v>
      </c>
      <c r="B402" s="10">
        <v>6.5</v>
      </c>
      <c r="C402" s="10">
        <v>45</v>
      </c>
      <c r="D402" s="10" t="s">
        <v>4</v>
      </c>
      <c r="E402" s="15">
        <f>0.34-0.007+0.23-0.32-0.014-0.037-0.038-0.074-0.035+0.011-0.038-0.011+0.04-0.037</f>
        <v>1.000000000000003E-2</v>
      </c>
    </row>
    <row r="403" spans="1:5" x14ac:dyDescent="0.3">
      <c r="A403" s="10">
        <v>45</v>
      </c>
      <c r="B403" s="10">
        <v>6.5</v>
      </c>
      <c r="C403" s="10">
        <v>45</v>
      </c>
      <c r="D403" s="10" t="s">
        <v>4</v>
      </c>
      <c r="E403" s="15">
        <f>1.69-0.044</f>
        <v>1.6459999999999999</v>
      </c>
    </row>
    <row r="404" spans="1:5" x14ac:dyDescent="0.3">
      <c r="A404" s="10">
        <v>45</v>
      </c>
      <c r="B404" s="10">
        <v>8</v>
      </c>
      <c r="C404" s="10">
        <v>20</v>
      </c>
      <c r="D404" s="10" t="s">
        <v>1</v>
      </c>
      <c r="E404" s="15">
        <f>1.34-0.005+5.215-0.024-0.083-0.057-0.024-0.016-0.057-0.12-0.032-0.26-0.14-0.016-0.089-0.148-0.009-0.071-0.032-0.037-0.016-0.078-0.178-0.013-0.073-0.02-0.007-0.005-0.032-0.076-0.024-0.008-0.147-0.014-0.066-0.005-0.02-0.009-0.017-0.077-0.003-0.013-0.013-0.013-0.024-0.012</f>
        <v>4.3719999999999999</v>
      </c>
    </row>
    <row r="405" spans="1:5" x14ac:dyDescent="0.3">
      <c r="A405" s="10">
        <v>45</v>
      </c>
      <c r="B405" s="10">
        <v>8</v>
      </c>
      <c r="C405" s="10" t="s">
        <v>26</v>
      </c>
      <c r="D405" s="10" t="s">
        <v>1</v>
      </c>
      <c r="E405" s="15">
        <f>2.85-0.755+0.066-0.005-0.002-0.082-0.012-0.007-0.008-0.008-0.009-0.008-0.032-0.164-0.23-0.005-0.009-0.01-0.078-0.005-0.02-0.082-0.014-0.02-0.009-0.024-0.163-0.081-0.076-0.156-0.16-0.16-0.024-0.082-0.242-0.158-0.004-0.002-0.002+0.1-0.003</f>
        <v>0.10500000000000065</v>
      </c>
    </row>
    <row r="406" spans="1:5" x14ac:dyDescent="0.3">
      <c r="A406" s="8">
        <v>45</v>
      </c>
      <c r="B406" s="8">
        <v>8</v>
      </c>
      <c r="C406" s="8">
        <v>45</v>
      </c>
      <c r="D406" s="8" t="s">
        <v>4</v>
      </c>
      <c r="E406" s="9">
        <f>3.23-0.006-0.012+0.066-0.05-0.046-0.24-0.012-0.038-0.095-0.02-0.057-0.096-0.276-0.1-0.63-0.2-0.388-1.057+0.1-0.049-0.006-0.024+0.029+2.7-0.079-0.053-0.159</f>
        <v>2.4319999999999999</v>
      </c>
    </row>
    <row r="407" spans="1:5" x14ac:dyDescent="0.3">
      <c r="A407" s="10">
        <v>45</v>
      </c>
      <c r="B407" s="10">
        <v>8</v>
      </c>
      <c r="C407" s="10">
        <v>45</v>
      </c>
      <c r="D407" s="10" t="s">
        <v>4</v>
      </c>
      <c r="E407" s="15">
        <v>2.7</v>
      </c>
    </row>
    <row r="408" spans="1:5" x14ac:dyDescent="0.3">
      <c r="A408" s="10">
        <v>45</v>
      </c>
      <c r="B408" s="10">
        <v>8</v>
      </c>
      <c r="C408" s="10" t="s">
        <v>28</v>
      </c>
      <c r="D408" s="10" t="s">
        <v>1</v>
      </c>
      <c r="E408" s="15">
        <f>2.14+1.08-0.2+0.032-0.032-0.96+0.012-0.012-0.024-0.074-0.024-0.217-0.047-0.016-0.02-0.067-0.142-0.048-0.039-0.009-0.145-0.142-0.006-0.032-0.95-0.071+0.12-0.026-0.015</f>
        <v>6.6000000000000281E-2</v>
      </c>
    </row>
    <row r="409" spans="1:5" x14ac:dyDescent="0.3">
      <c r="A409" s="10">
        <v>45</v>
      </c>
      <c r="B409" s="10">
        <v>8</v>
      </c>
      <c r="C409" s="10" t="s">
        <v>28</v>
      </c>
      <c r="D409" s="10" t="s">
        <v>1</v>
      </c>
      <c r="E409" s="15">
        <f>2.14+1.08-0.2+0.032-0.032-0.96+0.012-0.012-0.024-0.074-0.024-0.217-0.047-0.016-0.02-0.067-0.142-0.048-0.039-0.009-0.145-0.142-0.006-0.032-0.95-0.071+0.12+0.026-0.017-0.011</f>
        <v>0.10500000000000029</v>
      </c>
    </row>
    <row r="410" spans="1:5" x14ac:dyDescent="0.3">
      <c r="A410" s="10">
        <v>45</v>
      </c>
      <c r="B410" s="10">
        <v>8</v>
      </c>
      <c r="C410" s="10" t="s">
        <v>30</v>
      </c>
      <c r="D410" s="10" t="s">
        <v>1</v>
      </c>
      <c r="E410" s="15">
        <f>3.58-0.24-0.08+0.08-0.242+0.019-0.08-0.047-2.75-0.16-0.023-0.009</f>
        <v>4.7999999999999765E-2</v>
      </c>
    </row>
    <row r="411" spans="1:5" x14ac:dyDescent="0.3">
      <c r="A411" s="8">
        <v>45</v>
      </c>
      <c r="B411" s="8">
        <v>8</v>
      </c>
      <c r="C411" s="8" t="s">
        <v>30</v>
      </c>
      <c r="D411" s="8" t="s">
        <v>1</v>
      </c>
      <c r="E411" s="9">
        <v>5</v>
      </c>
    </row>
    <row r="412" spans="1:5" x14ac:dyDescent="0.3">
      <c r="A412" s="8">
        <v>45</v>
      </c>
      <c r="B412" s="8">
        <v>8</v>
      </c>
      <c r="C412" s="8" t="s">
        <v>30</v>
      </c>
      <c r="D412" s="8" t="s">
        <v>4</v>
      </c>
      <c r="E412" s="9">
        <f>3.23-0.047-0.024-0.016-0.073-0.082-0.093-0.1-0.203-0.05-0.046-1.3-0.05-0.09-0.22-0.044-0.024-0.79+0.056-0.022</f>
        <v>1.2000000000000205E-2</v>
      </c>
    </row>
    <row r="413" spans="1:5" x14ac:dyDescent="0.3">
      <c r="A413" s="10">
        <v>45</v>
      </c>
      <c r="B413" s="10">
        <v>10</v>
      </c>
      <c r="C413" s="10">
        <v>20</v>
      </c>
      <c r="D413" s="10" t="s">
        <v>1</v>
      </c>
      <c r="E413" s="15">
        <f>2.74-0.005-0.158-0.51-0.019-0.01-0.019-0.006-1.03-0.01-0.06-0.005-0.075-0.15-0.056-0.033-0.072-0.018-0.073-0.039-0.138-0.046-0.019-0.201+0.037</f>
        <v>2.5000000000000237E-2</v>
      </c>
    </row>
    <row r="414" spans="1:5" x14ac:dyDescent="0.3">
      <c r="A414" s="10">
        <v>45</v>
      </c>
      <c r="B414" s="10">
        <v>10</v>
      </c>
      <c r="C414" s="10">
        <v>20</v>
      </c>
      <c r="D414" s="10" t="s">
        <v>64</v>
      </c>
      <c r="E414" s="15">
        <f>2.73+2.566-0.133-0.016-0.01-0.056-0.103-0.198-0.013-0.131-0.037-0.028-0.524-0.027-0.01-0.332-0.198-0.196-0.01-0.019-0.131-0.01-0.131-0.015-0.022-0.132-0.263-0.023-0.024-0.067-0.13-0.13-0.044-0.66-0.067-0.066-0.07-0.011-0.003-0.068-0.131-0.006+4.967+0.47</f>
        <v>6.4879999999999987</v>
      </c>
    </row>
    <row r="415" spans="1:5" x14ac:dyDescent="0.3">
      <c r="A415" s="10">
        <v>45</v>
      </c>
      <c r="B415" s="10">
        <v>10</v>
      </c>
      <c r="C415" s="10">
        <v>20</v>
      </c>
      <c r="D415" s="10" t="s">
        <v>4</v>
      </c>
      <c r="E415" s="15">
        <f>0.57-0.043-0.197-0.014-0.066</f>
        <v>0.24999999999999989</v>
      </c>
    </row>
    <row r="416" spans="1:5" x14ac:dyDescent="0.3">
      <c r="A416" s="10">
        <v>45</v>
      </c>
      <c r="B416" s="10">
        <v>10</v>
      </c>
      <c r="C416" s="10" t="s">
        <v>26</v>
      </c>
      <c r="D416" s="10" t="s">
        <v>64</v>
      </c>
      <c r="E416" s="15">
        <f>5.325-0.59-0.01-0.07-0.41-0.019-0.07-1.03-0.223-1.43-0.069-0.148-0.069-0.066-0.277-0.211-0.067-0.026-0.07-0.074-0.048-0.515+0.294-0.009-0.021-0.012</f>
        <v>8.4999999999999784E-2</v>
      </c>
    </row>
    <row r="417" spans="1:5" x14ac:dyDescent="0.3">
      <c r="A417" s="10">
        <v>45</v>
      </c>
      <c r="B417" s="10">
        <v>10</v>
      </c>
      <c r="C417" s="10" t="s">
        <v>26</v>
      </c>
      <c r="D417" s="10" t="s">
        <v>64</v>
      </c>
      <c r="E417" s="15">
        <f>10.114-0.029-0.145-0.169-0.051-0.006-0.083-0.25-0.006-0.003-0.015-0.085-0.028-0.083-0.24</f>
        <v>8.9209999999999976</v>
      </c>
    </row>
    <row r="418" spans="1:5" x14ac:dyDescent="0.3">
      <c r="A418" s="10">
        <v>45</v>
      </c>
      <c r="B418" s="10">
        <v>10</v>
      </c>
      <c r="C418" s="10" t="s">
        <v>26</v>
      </c>
      <c r="D418" s="10" t="s">
        <v>4</v>
      </c>
      <c r="E418" s="15">
        <f>1.83-0.185-0.059-0.051-0.01-0.047-0.028-0.061-0.012-0.019</f>
        <v>1.3580000000000003</v>
      </c>
    </row>
    <row r="419" spans="1:5" x14ac:dyDescent="0.3">
      <c r="A419" s="10">
        <v>45</v>
      </c>
      <c r="B419" s="10">
        <v>10</v>
      </c>
      <c r="C419" s="10">
        <v>35</v>
      </c>
      <c r="D419" s="10" t="s">
        <v>4</v>
      </c>
      <c r="E419" s="15">
        <f>2.37+3.29-0.526-0.122-0.051-0.062</f>
        <v>4.899</v>
      </c>
    </row>
    <row r="420" spans="1:5" x14ac:dyDescent="0.3">
      <c r="A420" s="10">
        <v>45</v>
      </c>
      <c r="B420" s="10">
        <v>10</v>
      </c>
      <c r="C420" s="10">
        <v>45</v>
      </c>
      <c r="D420" s="10" t="s">
        <v>1</v>
      </c>
      <c r="E420" s="15">
        <f>0.016-0.014+0.081-0.019</f>
        <v>6.4000000000000001E-2</v>
      </c>
    </row>
    <row r="421" spans="1:5" x14ac:dyDescent="0.3">
      <c r="A421" s="10">
        <v>45</v>
      </c>
      <c r="B421" s="10">
        <v>10</v>
      </c>
      <c r="C421" s="10">
        <v>45</v>
      </c>
      <c r="D421" s="10" t="s">
        <v>1</v>
      </c>
      <c r="E421" s="15">
        <f>2.038-0.141+0.789-0.295-0.63-0.068-0.95-0.279-0.019-0.5+0.1-0.006</f>
        <v>3.9000000000000069E-2</v>
      </c>
    </row>
    <row r="422" spans="1:5" x14ac:dyDescent="0.3">
      <c r="A422" s="10">
        <v>45</v>
      </c>
      <c r="B422" s="10">
        <v>10</v>
      </c>
      <c r="C422" s="10">
        <v>45</v>
      </c>
      <c r="D422" s="10" t="s">
        <v>1</v>
      </c>
      <c r="E422" s="15">
        <f>2.65+2.506-0.171-0.522-0.062-0.115-0.52-0.11-0.061-1.76-0.031-0.61-0.184-0.122-0.12</f>
        <v>0.76799999999999913</v>
      </c>
    </row>
    <row r="423" spans="1:5" x14ac:dyDescent="0.3">
      <c r="A423" s="10">
        <v>45</v>
      </c>
      <c r="B423" s="10">
        <v>10</v>
      </c>
      <c r="C423" s="10">
        <v>45</v>
      </c>
      <c r="D423" s="10" t="s">
        <v>64</v>
      </c>
      <c r="E423" s="15">
        <f>1.581-0.086+1.19+4.332</f>
        <v>7.0169999999999995</v>
      </c>
    </row>
    <row r="424" spans="1:5" x14ac:dyDescent="0.3">
      <c r="A424" s="10">
        <v>45</v>
      </c>
      <c r="B424" s="10">
        <v>10</v>
      </c>
      <c r="C424" s="10">
        <v>45</v>
      </c>
      <c r="D424" s="10" t="s">
        <v>4</v>
      </c>
      <c r="E424" s="15">
        <v>0.53</v>
      </c>
    </row>
    <row r="425" spans="1:5" x14ac:dyDescent="0.3">
      <c r="A425" s="10">
        <v>45</v>
      </c>
      <c r="B425" s="10">
        <v>10</v>
      </c>
      <c r="C425" s="10" t="s">
        <v>28</v>
      </c>
      <c r="D425" s="10" t="s">
        <v>1</v>
      </c>
      <c r="E425" s="15">
        <f>6.76-0.027-0.055-0.094-0.103-0.005-0.019-0.055-0.074-0.106-0.014-0.106-0.014-0.314-0.014-0.024-0.023-0.021-0.056-0.03-0.021-0.1-0.014-0.104-0.048-0.213-0.104-0.01</f>
        <v>4.992</v>
      </c>
    </row>
    <row r="426" spans="1:5" x14ac:dyDescent="0.3">
      <c r="A426" s="10">
        <v>45</v>
      </c>
      <c r="B426" s="10">
        <v>10</v>
      </c>
      <c r="C426" s="10" t="s">
        <v>30</v>
      </c>
      <c r="D426" s="10" t="s">
        <v>1</v>
      </c>
      <c r="E426" s="15">
        <f>5.118-0.038-0.025-0.021-0.01-0.019-0.067</f>
        <v>4.9379999999999997</v>
      </c>
    </row>
    <row r="427" spans="1:5" x14ac:dyDescent="0.3">
      <c r="A427" s="10">
        <v>45</v>
      </c>
      <c r="B427" s="10">
        <v>10</v>
      </c>
      <c r="C427" s="10" t="s">
        <v>30</v>
      </c>
      <c r="D427" s="10" t="s">
        <v>64</v>
      </c>
      <c r="E427" s="15">
        <f>5.725-0.091+1.781-2.58</f>
        <v>4.8349999999999991</v>
      </c>
    </row>
    <row r="428" spans="1:5" x14ac:dyDescent="0.3">
      <c r="A428" s="10">
        <v>45</v>
      </c>
      <c r="B428" s="10">
        <v>10</v>
      </c>
      <c r="C428" s="10" t="s">
        <v>30</v>
      </c>
      <c r="D428" s="10" t="s">
        <v>4</v>
      </c>
      <c r="E428" s="15">
        <v>2.08</v>
      </c>
    </row>
    <row r="429" spans="1:5" x14ac:dyDescent="0.3">
      <c r="A429" s="10">
        <v>45</v>
      </c>
      <c r="B429" s="10">
        <v>10</v>
      </c>
      <c r="C429" s="10" t="s">
        <v>30</v>
      </c>
      <c r="D429" s="10" t="s">
        <v>4</v>
      </c>
      <c r="E429" s="15">
        <f>3-2.08</f>
        <v>0.91999999999999993</v>
      </c>
    </row>
    <row r="430" spans="1:5" x14ac:dyDescent="0.3">
      <c r="A430" s="10">
        <v>45</v>
      </c>
      <c r="B430" s="10">
        <v>12</v>
      </c>
      <c r="C430" s="10">
        <v>20</v>
      </c>
      <c r="D430" s="10" t="s">
        <v>64</v>
      </c>
      <c r="E430" s="15">
        <v>5.9930000000000003</v>
      </c>
    </row>
    <row r="431" spans="1:5" x14ac:dyDescent="0.3">
      <c r="A431" s="10">
        <v>45</v>
      </c>
      <c r="B431" s="10">
        <v>12</v>
      </c>
      <c r="C431" s="10" t="s">
        <v>26</v>
      </c>
      <c r="D431" s="10" t="s">
        <v>1</v>
      </c>
      <c r="E431" s="15">
        <f>5.32-0.17+0.385-0.021-0.155-0.031-0.09-0.041-0.441-0.54-0.091-0.182-0.18-0.09-0.184-0.18-0.011-0.021-0.091-0.18-0.26-0.006-0.006-0.065-0.089-0.092-0.086-2.45+0.122-0.087+0.083-0.07+0.004</f>
        <v>3.9999999999999584E-3</v>
      </c>
    </row>
    <row r="432" spans="1:5" x14ac:dyDescent="0.3">
      <c r="A432" s="10">
        <v>45</v>
      </c>
      <c r="B432" s="10">
        <v>12</v>
      </c>
      <c r="C432" s="10" t="s">
        <v>26</v>
      </c>
      <c r="D432" s="10" t="s">
        <v>64</v>
      </c>
      <c r="E432" s="15">
        <f>5.039-0.42-0.358-0.068-0.14-0.032</f>
        <v>4.0210000000000008</v>
      </c>
    </row>
    <row r="433" spans="1:5" x14ac:dyDescent="0.3">
      <c r="A433" s="10">
        <v>45</v>
      </c>
      <c r="B433" s="10">
        <v>12</v>
      </c>
      <c r="C433" s="10">
        <v>45</v>
      </c>
      <c r="D433" s="10" t="s">
        <v>64</v>
      </c>
      <c r="E433" s="15">
        <v>5.4880000000000004</v>
      </c>
    </row>
    <row r="434" spans="1:5" x14ac:dyDescent="0.3">
      <c r="A434" s="10">
        <v>45</v>
      </c>
      <c r="B434" s="10">
        <v>12</v>
      </c>
      <c r="C434" s="10" t="s">
        <v>30</v>
      </c>
      <c r="D434" s="10" t="s">
        <v>1</v>
      </c>
      <c r="E434" s="15">
        <f>5.351-0.033-0.137-0.069-0.011-0.2-0.28-0.069-0.007</f>
        <v>4.544999999999999</v>
      </c>
    </row>
    <row r="435" spans="1:5" x14ac:dyDescent="0.3">
      <c r="A435" s="10">
        <v>45</v>
      </c>
      <c r="B435" s="10">
        <v>12</v>
      </c>
      <c r="C435" s="10" t="s">
        <v>30</v>
      </c>
      <c r="D435" s="10" t="s">
        <v>64</v>
      </c>
      <c r="E435" s="15">
        <f>5.933-0.525-0.083</f>
        <v>5.3249999999999993</v>
      </c>
    </row>
    <row r="436" spans="1:5" x14ac:dyDescent="0.3">
      <c r="A436" s="8">
        <v>47</v>
      </c>
      <c r="B436" s="8">
        <v>9.1999999999999993</v>
      </c>
      <c r="C436" s="13" t="s">
        <v>33</v>
      </c>
      <c r="D436" s="8" t="s">
        <v>17</v>
      </c>
      <c r="E436" s="9">
        <f>4.543+0.023-0.611-1.04-0.215-0.129-0.4</f>
        <v>2.1710000000000003</v>
      </c>
    </row>
    <row r="437" spans="1:5" x14ac:dyDescent="0.3">
      <c r="A437" s="10">
        <v>48</v>
      </c>
      <c r="B437" s="10">
        <v>2.5</v>
      </c>
      <c r="C437" s="10">
        <v>20</v>
      </c>
      <c r="D437" s="10" t="s">
        <v>4</v>
      </c>
      <c r="E437" s="15">
        <f>2.2-0.053+0.013-0.002-0.015-0.033-0.049-0.07-0.05-0.016</f>
        <v>1.9250000000000003</v>
      </c>
    </row>
    <row r="438" spans="1:5" x14ac:dyDescent="0.3">
      <c r="A438" s="10">
        <v>48</v>
      </c>
      <c r="B438" s="10">
        <v>2.5</v>
      </c>
      <c r="C438" s="10" t="s">
        <v>26</v>
      </c>
      <c r="D438" s="10" t="s">
        <v>4</v>
      </c>
      <c r="E438" s="15">
        <f>1.08-0.034-0.136</f>
        <v>0.91</v>
      </c>
    </row>
    <row r="439" spans="1:5" x14ac:dyDescent="0.3">
      <c r="A439" s="10">
        <v>48</v>
      </c>
      <c r="B439" s="10">
        <v>2.5</v>
      </c>
      <c r="C439" s="10" t="s">
        <v>26</v>
      </c>
      <c r="D439" s="10" t="s">
        <v>4</v>
      </c>
      <c r="E439" s="15">
        <f>2.5-1.08</f>
        <v>1.42</v>
      </c>
    </row>
    <row r="440" spans="1:5" x14ac:dyDescent="0.3">
      <c r="A440" s="10">
        <v>48</v>
      </c>
      <c r="B440" s="10">
        <v>3</v>
      </c>
      <c r="C440" s="10" t="s">
        <v>72</v>
      </c>
      <c r="D440" s="10" t="s">
        <v>7</v>
      </c>
      <c r="E440" s="15">
        <f>0.056-0.02</f>
        <v>3.6000000000000004E-2</v>
      </c>
    </row>
    <row r="441" spans="1:5" x14ac:dyDescent="0.3">
      <c r="A441" s="8">
        <v>48</v>
      </c>
      <c r="B441" s="8">
        <v>3</v>
      </c>
      <c r="C441" s="8">
        <v>20</v>
      </c>
      <c r="D441" s="8" t="s">
        <v>1</v>
      </c>
      <c r="E441" s="9">
        <v>2</v>
      </c>
    </row>
    <row r="442" spans="1:5" x14ac:dyDescent="0.3">
      <c r="A442" s="13">
        <v>48.3</v>
      </c>
      <c r="B442" s="13">
        <v>3</v>
      </c>
      <c r="C442" s="13">
        <v>20</v>
      </c>
      <c r="D442" s="13" t="s">
        <v>1</v>
      </c>
      <c r="E442" s="16">
        <f>2.725-0.123+0.033-0.054-0.002-0.05-0.078+0.058-0.012-0.081-0.172-0.088-0.132-0.046</f>
        <v>1.9780000000000004</v>
      </c>
    </row>
    <row r="443" spans="1:5" x14ac:dyDescent="0.3">
      <c r="A443" s="10">
        <v>48</v>
      </c>
      <c r="B443" s="10">
        <v>3</v>
      </c>
      <c r="C443" s="10">
        <v>20</v>
      </c>
      <c r="D443" s="10" t="s">
        <v>4</v>
      </c>
      <c r="E443" s="15">
        <f>1.37-0.004-0.002-0.002-0.117-0.048-0.038-0.142-0.034-0.053-0.008-0.008-0.19</f>
        <v>0.72399999999999998</v>
      </c>
    </row>
    <row r="444" spans="1:5" x14ac:dyDescent="0.3">
      <c r="A444" s="10">
        <v>48</v>
      </c>
      <c r="B444" s="10">
        <v>3</v>
      </c>
      <c r="C444" s="10" t="s">
        <v>26</v>
      </c>
      <c r="D444" s="10" t="s">
        <v>4</v>
      </c>
      <c r="E444" s="15">
        <f>2.41-0.023-0.015-0.008-0.029-0.023-0.024</f>
        <v>2.2879999999999998</v>
      </c>
    </row>
    <row r="445" spans="1:5" x14ac:dyDescent="0.3">
      <c r="A445" s="10">
        <v>48</v>
      </c>
      <c r="B445" s="10">
        <v>3.5</v>
      </c>
      <c r="C445" s="10">
        <v>20</v>
      </c>
      <c r="D445" s="10" t="s">
        <v>4</v>
      </c>
      <c r="E445" s="15">
        <f>1.02-0.01-0.046-0.005-0.37-0.032-0.007-0.004</f>
        <v>0.54599999999999993</v>
      </c>
    </row>
    <row r="446" spans="1:5" x14ac:dyDescent="0.3">
      <c r="A446" s="10">
        <v>48</v>
      </c>
      <c r="B446" s="10">
        <v>3.5</v>
      </c>
      <c r="C446" s="10" t="s">
        <v>26</v>
      </c>
      <c r="D446" s="10" t="s">
        <v>64</v>
      </c>
      <c r="E446" s="15">
        <f>0.252-0.007-0.005-0.169-0.011-0.001-0.021</f>
        <v>3.7999999999999978E-2</v>
      </c>
    </row>
    <row r="447" spans="1:5" x14ac:dyDescent="0.3">
      <c r="A447" s="10">
        <v>48</v>
      </c>
      <c r="B447" s="10">
        <v>3.5</v>
      </c>
      <c r="C447" s="10" t="s">
        <v>26</v>
      </c>
      <c r="D447" s="10" t="s">
        <v>4</v>
      </c>
      <c r="E447" s="15">
        <f>1.86-0.041-0.005-0.028-0.08-0.04-0.004-0.01-0.079-0.071-0.001-0.001-0.017-0.002-0.079-0.005-0.04</f>
        <v>1.3570000000000007</v>
      </c>
    </row>
    <row r="448" spans="1:5" x14ac:dyDescent="0.3">
      <c r="A448" s="10">
        <v>48.3</v>
      </c>
      <c r="B448" s="10">
        <v>3.68</v>
      </c>
      <c r="C448" s="10" t="s">
        <v>139</v>
      </c>
      <c r="D448" s="10" t="s">
        <v>114</v>
      </c>
      <c r="E448" s="15">
        <f>0.2+0.645</f>
        <v>0.84499999999999997</v>
      </c>
    </row>
    <row r="449" spans="1:5" x14ac:dyDescent="0.3">
      <c r="A449" s="10">
        <v>48</v>
      </c>
      <c r="B449" s="10">
        <v>4</v>
      </c>
      <c r="C449" s="10">
        <v>20</v>
      </c>
      <c r="D449" s="10" t="s">
        <v>4</v>
      </c>
      <c r="E449" s="15">
        <f>12.755-0.006-0.029-0.003-9.21-3.54+0.13-0.022</f>
        <v>7.499999999999965E-2</v>
      </c>
    </row>
    <row r="450" spans="1:5" x14ac:dyDescent="0.3">
      <c r="A450" s="8">
        <v>48</v>
      </c>
      <c r="B450" s="8">
        <v>4</v>
      </c>
      <c r="C450" s="8">
        <v>20</v>
      </c>
      <c r="D450" s="8" t="s">
        <v>1</v>
      </c>
      <c r="E450" s="9">
        <v>2</v>
      </c>
    </row>
    <row r="451" spans="1:5" x14ac:dyDescent="0.3">
      <c r="A451" s="10">
        <v>48</v>
      </c>
      <c r="B451" s="10">
        <v>4</v>
      </c>
      <c r="C451" s="10">
        <v>20</v>
      </c>
      <c r="D451" s="10" t="s">
        <v>4</v>
      </c>
      <c r="E451" s="15">
        <f>9.21+3.54-1.6-0.058+0.022-0.029-0.029-0.01-0.016-0.005-0.007-0.029-0.002-0.085-0.029-0.015-0.058-0.11-0.029-0.058-0.01-0.015-0.003-0.086-0.003-0.006-0.008-0.007-0.003-0.029-0.029-0.017-0.029-0.015-0.052-0.003-0.012-0.002-0.002-0.015-0.013-0.058-0.009-0.029</f>
        <v>10.147999999999998</v>
      </c>
    </row>
    <row r="452" spans="1:5" x14ac:dyDescent="0.3">
      <c r="A452" s="8">
        <v>48</v>
      </c>
      <c r="B452" s="8">
        <v>4</v>
      </c>
      <c r="C452" s="8" t="s">
        <v>30</v>
      </c>
      <c r="D452" s="8" t="s">
        <v>1</v>
      </c>
      <c r="E452" s="9">
        <f>9.629-0.051-0.051-0.052-0.105-0.036-0.07-0.122-0.111-0.017+0.086-0.017-0.086-0.003-0.051-0.122-8.81+0.1-0.031</f>
        <v>7.9999999999999238E-2</v>
      </c>
    </row>
    <row r="453" spans="1:5" x14ac:dyDescent="0.3">
      <c r="A453" s="10">
        <v>48</v>
      </c>
      <c r="B453" s="10">
        <v>4</v>
      </c>
      <c r="C453" s="10" t="s">
        <v>30</v>
      </c>
      <c r="D453" s="10" t="s">
        <v>1</v>
      </c>
      <c r="E453" s="15">
        <f>8.81+0.031-0.051-0.051-0.167-0.034-0.068</f>
        <v>8.4700000000000006</v>
      </c>
    </row>
    <row r="454" spans="1:5" x14ac:dyDescent="0.3">
      <c r="A454" s="10">
        <v>48</v>
      </c>
      <c r="B454" s="10">
        <v>5</v>
      </c>
      <c r="C454" s="10">
        <v>20</v>
      </c>
      <c r="D454" s="10" t="s">
        <v>1</v>
      </c>
      <c r="E454" s="15">
        <f>0.009-0.005+0.006-0.007</f>
        <v>2.9999999999999983E-3</v>
      </c>
    </row>
    <row r="455" spans="1:5" x14ac:dyDescent="0.3">
      <c r="A455" s="10">
        <v>48</v>
      </c>
      <c r="B455" s="10">
        <v>5</v>
      </c>
      <c r="C455" s="10">
        <v>20</v>
      </c>
      <c r="D455" s="10" t="s">
        <v>4</v>
      </c>
      <c r="E455" s="15">
        <f>2.11+1.96-0.092-0.035+10.104+0.75-0.008-0.136-0.032-0.012-0.091-0.015-0.031-0.018-0.007-0.012-0.046-0.053-0.007-0.015-0.022-0.046-0.044-0.046-0.041-0.054-0.025-0.028-0.011-0.036-0.029-0.105-0.175-0.032-0.01-0.007</f>
        <v>13.602999999999998</v>
      </c>
    </row>
    <row r="456" spans="1:5" x14ac:dyDescent="0.3">
      <c r="A456" s="10">
        <v>48</v>
      </c>
      <c r="B456" s="10">
        <v>5</v>
      </c>
      <c r="C456" s="10">
        <v>20</v>
      </c>
      <c r="D456" s="10" t="s">
        <v>32</v>
      </c>
      <c r="E456" s="15">
        <v>0.27900000000000003</v>
      </c>
    </row>
    <row r="457" spans="1:5" x14ac:dyDescent="0.3">
      <c r="A457" s="10">
        <v>48</v>
      </c>
      <c r="B457" s="10">
        <v>5</v>
      </c>
      <c r="C457" s="10" t="s">
        <v>26</v>
      </c>
      <c r="D457" s="10" t="s">
        <v>4</v>
      </c>
      <c r="E457" s="15">
        <f>2.01-0.018-0.007-0.17-0.055-0.01-0.021-0.003-0.012-0.002-0.038-0.024-0.006-0.018-0.059-0.003-0.018-0.026-0.168-0.004-0.009-0.012</f>
        <v>1.3270000000000004</v>
      </c>
    </row>
    <row r="458" spans="1:5" x14ac:dyDescent="0.3">
      <c r="A458" s="10">
        <v>48</v>
      </c>
      <c r="B458" s="10">
        <v>5</v>
      </c>
      <c r="C458" s="10" t="s">
        <v>26</v>
      </c>
      <c r="D458" s="10" t="s">
        <v>4</v>
      </c>
      <c r="E458" s="15">
        <f>2.5-2.01</f>
        <v>0.49000000000000021</v>
      </c>
    </row>
    <row r="459" spans="1:5" x14ac:dyDescent="0.3">
      <c r="A459" s="10">
        <v>48</v>
      </c>
      <c r="B459" s="10">
        <v>5</v>
      </c>
      <c r="C459" s="10">
        <v>45</v>
      </c>
      <c r="D459" s="10" t="s">
        <v>4</v>
      </c>
      <c r="E459" s="15">
        <f>1.04-0.035-0.036-0.001-0.045-0.024</f>
        <v>0.89900000000000002</v>
      </c>
    </row>
    <row r="460" spans="1:5" x14ac:dyDescent="0.3">
      <c r="A460" s="10">
        <v>48</v>
      </c>
      <c r="B460" s="10">
        <v>5</v>
      </c>
      <c r="C460" s="10" t="s">
        <v>30</v>
      </c>
      <c r="D460" s="10" t="s">
        <v>1</v>
      </c>
      <c r="E460" s="15">
        <f>4.29-0.061-0.233-0.059-0.018-0.024-0.975-0.078-0.056-2.78+0.15</f>
        <v>0.15600000000000022</v>
      </c>
    </row>
    <row r="461" spans="1:5" x14ac:dyDescent="0.3">
      <c r="A461" s="10">
        <v>48</v>
      </c>
      <c r="B461" s="10">
        <v>5</v>
      </c>
      <c r="C461" s="10" t="s">
        <v>30</v>
      </c>
      <c r="D461" s="10" t="s">
        <v>1</v>
      </c>
      <c r="E461" s="15">
        <f>2.78-0.061-0.012</f>
        <v>2.7069999999999999</v>
      </c>
    </row>
    <row r="462" spans="1:5" x14ac:dyDescent="0.3">
      <c r="A462" s="8">
        <v>48</v>
      </c>
      <c r="B462" s="8">
        <v>5</v>
      </c>
      <c r="C462" s="13" t="s">
        <v>30</v>
      </c>
      <c r="D462" s="8" t="s">
        <v>4</v>
      </c>
      <c r="E462" s="9">
        <f>0.63-0.038-0.006</f>
        <v>0.58599999999999997</v>
      </c>
    </row>
    <row r="463" spans="1:5" x14ac:dyDescent="0.3">
      <c r="A463" s="10">
        <v>48</v>
      </c>
      <c r="B463" s="10">
        <v>5</v>
      </c>
      <c r="C463" s="10" t="s">
        <v>31</v>
      </c>
      <c r="D463" s="10" t="s">
        <v>32</v>
      </c>
      <c r="E463" s="15">
        <f>0.953-0.043</f>
        <v>0.90999999999999992</v>
      </c>
    </row>
    <row r="464" spans="1:5" x14ac:dyDescent="0.3">
      <c r="A464" s="10">
        <v>48.5</v>
      </c>
      <c r="B464" s="10">
        <v>5.08</v>
      </c>
      <c r="C464" s="10" t="s">
        <v>139</v>
      </c>
      <c r="D464" s="10" t="s">
        <v>114</v>
      </c>
      <c r="E464" s="15">
        <v>7.0000000000000007E-2</v>
      </c>
    </row>
    <row r="465" spans="1:5" x14ac:dyDescent="0.3">
      <c r="A465" s="8">
        <v>48</v>
      </c>
      <c r="B465" s="8">
        <v>6</v>
      </c>
      <c r="C465" s="8">
        <v>20</v>
      </c>
      <c r="D465" s="8" t="s">
        <v>1</v>
      </c>
      <c r="E465" s="9">
        <v>3</v>
      </c>
    </row>
    <row r="466" spans="1:5" x14ac:dyDescent="0.3">
      <c r="A466" s="10">
        <v>48</v>
      </c>
      <c r="B466" s="10">
        <v>6</v>
      </c>
      <c r="C466" s="10">
        <v>20</v>
      </c>
      <c r="D466" s="10" t="s">
        <v>32</v>
      </c>
      <c r="E466" s="15">
        <f>0.983-0.005-0.009-0.009-0.012</f>
        <v>0.94799999999999995</v>
      </c>
    </row>
    <row r="467" spans="1:5" x14ac:dyDescent="0.3">
      <c r="A467" s="10">
        <v>48</v>
      </c>
      <c r="B467" s="10">
        <v>6</v>
      </c>
      <c r="C467" s="10" t="s">
        <v>26</v>
      </c>
      <c r="D467" s="10" t="s">
        <v>4</v>
      </c>
      <c r="E467" s="15">
        <f>1.03-0.005-0.071-0.199-0.029-0.004-0.008-0.008-0.134-0.002-0.013-0.375-0.022-0.014</f>
        <v>0.14600000000000005</v>
      </c>
    </row>
    <row r="468" spans="1:5" x14ac:dyDescent="0.3">
      <c r="A468" s="10">
        <v>48</v>
      </c>
      <c r="B468" s="10">
        <v>6</v>
      </c>
      <c r="C468" s="10" t="s">
        <v>28</v>
      </c>
      <c r="D468" s="10" t="s">
        <v>1</v>
      </c>
      <c r="E468" s="15">
        <f>6.036-0.006-0.24-0.184-0.068-0.007-0.021-0.13-1.32-0.011-0.068-0.029-0.43-0.96</f>
        <v>2.5619999999999994</v>
      </c>
    </row>
    <row r="469" spans="1:5" x14ac:dyDescent="0.3">
      <c r="A469" s="10">
        <v>48</v>
      </c>
      <c r="B469" s="10">
        <v>7</v>
      </c>
      <c r="C469" s="10">
        <v>20</v>
      </c>
      <c r="D469" s="10" t="s">
        <v>4</v>
      </c>
      <c r="E469" s="15">
        <f>1.04-0.183-0.046+0.024-0.43-0.091-0.031</f>
        <v>0.28299999999999992</v>
      </c>
    </row>
    <row r="470" spans="1:5" x14ac:dyDescent="0.3">
      <c r="A470" s="10">
        <v>48</v>
      </c>
      <c r="B470" s="10">
        <v>7</v>
      </c>
      <c r="C470" s="10" t="s">
        <v>26</v>
      </c>
      <c r="D470" s="10" t="s">
        <v>4</v>
      </c>
      <c r="E470" s="15">
        <f>1.03-0.28-0.15</f>
        <v>0.6</v>
      </c>
    </row>
    <row r="471" spans="1:5" x14ac:dyDescent="0.3">
      <c r="A471" s="10">
        <v>48</v>
      </c>
      <c r="B471" s="10">
        <v>8</v>
      </c>
      <c r="C471" s="10">
        <v>20</v>
      </c>
      <c r="D471" s="10" t="s">
        <v>1</v>
      </c>
      <c r="E471" s="15">
        <f>3.56+0.056+0.08-0.022+0.004-0.083-0.008-0.085-0.57-0.106+0.019-0.254-0.014-0.008-0.015-0.06-0.056-0.03-0.12-0.004-0.085-0.026-0.039-0.34-0.03-0.083-0.153-0.213-1.31+0.235-0.009-0.004-0.005</f>
        <v>0.22200000000000053</v>
      </c>
    </row>
    <row r="472" spans="1:5" x14ac:dyDescent="0.3">
      <c r="A472" s="8">
        <v>48</v>
      </c>
      <c r="B472" s="8">
        <v>8</v>
      </c>
      <c r="C472" s="8">
        <v>20</v>
      </c>
      <c r="D472" s="8" t="s">
        <v>1</v>
      </c>
      <c r="E472" s="9">
        <v>3</v>
      </c>
    </row>
    <row r="473" spans="1:5" x14ac:dyDescent="0.3">
      <c r="A473" s="10">
        <v>48</v>
      </c>
      <c r="B473" s="10">
        <v>8</v>
      </c>
      <c r="C473" s="10">
        <v>20</v>
      </c>
      <c r="D473" s="10" t="s">
        <v>4</v>
      </c>
      <c r="E473" s="15">
        <f>1.21-0.052-0.076-0.009-0.026-0.152-0.026+0.69-0.042-0.246-0.024-0.151-0.052-0.092</f>
        <v>0.95199999999999962</v>
      </c>
    </row>
    <row r="474" spans="1:5" x14ac:dyDescent="0.3">
      <c r="A474" s="10">
        <v>48</v>
      </c>
      <c r="B474" s="10">
        <v>8</v>
      </c>
      <c r="C474" s="10" t="s">
        <v>26</v>
      </c>
      <c r="D474" s="10" t="s">
        <v>64</v>
      </c>
      <c r="E474" s="15">
        <f>5.555-0.083-0.061-0.235-0.078-0.083-0.009-0.017-0.238-0.015-0.078-0.025-0.083-0.166-0.009-0.077-0.009-0.013-0.009-0.009-0.015-0.08-0.056-0.011-0.018-0.018-0.002-0.026-0.072-0.075-0.007-0.322-0.4-0.105-0.082-0.009-0.012-0.13-0.08-0.095-0.038-0.008-0.005-0.165-0.003</f>
        <v>2.4239999999999964</v>
      </c>
    </row>
    <row r="475" spans="1:5" x14ac:dyDescent="0.3">
      <c r="A475" s="8">
        <v>48</v>
      </c>
      <c r="B475" s="8">
        <v>8</v>
      </c>
      <c r="C475" s="8" t="s">
        <v>26</v>
      </c>
      <c r="D475" s="8" t="s">
        <v>4</v>
      </c>
      <c r="E475" s="9">
        <v>4.2999999999999997E-2</v>
      </c>
    </row>
    <row r="476" spans="1:5" x14ac:dyDescent="0.3">
      <c r="A476" s="10">
        <v>48</v>
      </c>
      <c r="B476" s="10">
        <v>8</v>
      </c>
      <c r="C476" s="10">
        <v>35</v>
      </c>
      <c r="D476" s="10" t="s">
        <v>4</v>
      </c>
      <c r="E476" s="15">
        <f>1.02-0.035</f>
        <v>0.98499999999999999</v>
      </c>
    </row>
    <row r="477" spans="1:5" x14ac:dyDescent="0.3">
      <c r="A477" s="8">
        <v>48</v>
      </c>
      <c r="B477" s="8">
        <v>8</v>
      </c>
      <c r="C477" s="8">
        <v>45</v>
      </c>
      <c r="D477" s="8" t="s">
        <v>1</v>
      </c>
      <c r="E477" s="9">
        <v>5</v>
      </c>
    </row>
    <row r="478" spans="1:5" x14ac:dyDescent="0.3">
      <c r="A478" s="10">
        <v>48</v>
      </c>
      <c r="B478" s="10">
        <v>8</v>
      </c>
      <c r="C478" s="10" t="s">
        <v>117</v>
      </c>
      <c r="D478" s="10" t="s">
        <v>4</v>
      </c>
      <c r="E478" s="15">
        <f>0.62+0.508+0.036</f>
        <v>1.1640000000000001</v>
      </c>
    </row>
    <row r="479" spans="1:5" x14ac:dyDescent="0.3">
      <c r="A479" s="10">
        <v>48</v>
      </c>
      <c r="B479" s="10">
        <v>8</v>
      </c>
      <c r="C479" s="10" t="s">
        <v>30</v>
      </c>
      <c r="D479" s="10" t="s">
        <v>1</v>
      </c>
      <c r="E479" s="15">
        <f>5.677-1.68-0.234-0.081-0.008-0.01-0.058-0.154-0.008-0.009</f>
        <v>3.4350000000000005</v>
      </c>
    </row>
    <row r="480" spans="1:5" x14ac:dyDescent="0.3">
      <c r="A480" s="10">
        <v>48</v>
      </c>
      <c r="B480" s="10">
        <v>9</v>
      </c>
      <c r="C480" s="10">
        <v>45</v>
      </c>
      <c r="D480" s="10" t="s">
        <v>4</v>
      </c>
      <c r="E480" s="15">
        <f>5.03-0.185-0.276-0.273-0.184-0.056-0.06-0.097-0.026-0.038-0.053-0.01-0.056-0.235-0.024-0.09-0.091-0.091-0.005-0.01-0.091-0.08-3.09+0.121</f>
        <v>3.0000000000001581E-2</v>
      </c>
    </row>
    <row r="481" spans="1:5" x14ac:dyDescent="0.3">
      <c r="A481" s="10">
        <v>48</v>
      </c>
      <c r="B481" s="10">
        <v>9</v>
      </c>
      <c r="C481" s="10">
        <v>45</v>
      </c>
      <c r="D481" s="10" t="s">
        <v>4</v>
      </c>
      <c r="E481" s="15">
        <f>3.09+0.101-0.091-0.18-0.44-0.36-0.091-1.98+0.052</f>
        <v>0.10099999999999948</v>
      </c>
    </row>
    <row r="482" spans="1:5" x14ac:dyDescent="0.3">
      <c r="A482" s="10">
        <v>48</v>
      </c>
      <c r="B482" s="10">
        <v>10</v>
      </c>
      <c r="C482" s="10">
        <v>20</v>
      </c>
      <c r="D482" s="10" t="s">
        <v>1</v>
      </c>
      <c r="E482" s="15">
        <f>6.005+3.34+7.21+0.097-0.03-0.107-0.204-0.875-0.067+0.072+0.072-0.072-0.427-0.025-0.016+0.072-0.061-0.01-0.03-0.02-0.107+0.059-0.021-0.107-0.107-0.009-0.021-0.21-0.17-0.004-0.213-0.03-0.424-0.03-0.026-0.531-0.108-0.317-0.026-0.316-0.652-0.318-0.013</f>
        <v>11.223000000000001</v>
      </c>
    </row>
    <row r="483" spans="1:5" x14ac:dyDescent="0.3">
      <c r="A483" s="10">
        <v>48</v>
      </c>
      <c r="B483" s="10">
        <v>10</v>
      </c>
      <c r="C483" s="10" t="s">
        <v>26</v>
      </c>
      <c r="D483" s="10" t="s">
        <v>64</v>
      </c>
      <c r="E483" s="15">
        <f>1.01-0.212-0.03-0.213-0.197-0.03-0.199-0.1+0.331+5.359-0.046-0.26+0.107-0.108-0.27-0.004-0.088-1.09-0.25-0.262-0.011-0.019-0.088-0.353-0.173-0.075-0.021-0.267-0.09-0.18-0.262-0.525-0.54-0.212-0.021-0.358-0.09+0.63-0.261-0.174-0.108-0.106</f>
        <v>0.14400000000000129</v>
      </c>
    </row>
    <row r="484" spans="1:5" x14ac:dyDescent="0.3">
      <c r="A484" s="8">
        <v>48</v>
      </c>
      <c r="B484" s="8">
        <v>10</v>
      </c>
      <c r="C484" s="8" t="s">
        <v>26</v>
      </c>
      <c r="D484" s="8" t="s">
        <v>64</v>
      </c>
      <c r="E484" s="9">
        <v>5</v>
      </c>
    </row>
    <row r="485" spans="1:5" x14ac:dyDescent="0.3">
      <c r="A485" s="8">
        <v>48</v>
      </c>
      <c r="B485" s="8">
        <v>10</v>
      </c>
      <c r="C485" s="8">
        <v>35</v>
      </c>
      <c r="D485" s="8" t="s">
        <v>4</v>
      </c>
      <c r="E485" s="9">
        <f>5.52+0.011-0.041-0.14-2.09-3.22-0.011</f>
        <v>2.8999999999999592E-2</v>
      </c>
    </row>
    <row r="486" spans="1:5" x14ac:dyDescent="0.3">
      <c r="A486" s="8">
        <v>48</v>
      </c>
      <c r="B486" s="8">
        <v>10</v>
      </c>
      <c r="C486" s="8">
        <v>35</v>
      </c>
      <c r="D486" s="8" t="s">
        <v>4</v>
      </c>
      <c r="E486" s="9">
        <f>2.09+3.22+0.011-0.034-0.064</f>
        <v>5.2230000000000008</v>
      </c>
    </row>
    <row r="487" spans="1:5" x14ac:dyDescent="0.3">
      <c r="A487" s="10">
        <v>48</v>
      </c>
      <c r="B487" s="10">
        <v>10</v>
      </c>
      <c r="C487" s="10">
        <v>45</v>
      </c>
      <c r="D487" s="10" t="s">
        <v>1</v>
      </c>
      <c r="E487" s="15">
        <f>5.1-0.06-0.102-0.3-0.491-0.19-0.042-0.021-0.103-0.104-0.069-0.021-0.108-0.041-0.103-0.021-0.104-3.01-0.023</f>
        <v>0.18700000000000042</v>
      </c>
    </row>
    <row r="488" spans="1:5" x14ac:dyDescent="0.3">
      <c r="A488" s="10">
        <v>48</v>
      </c>
      <c r="B488" s="10">
        <v>10</v>
      </c>
      <c r="C488" s="10">
        <v>45</v>
      </c>
      <c r="D488" s="10" t="s">
        <v>1</v>
      </c>
      <c r="E488" s="15">
        <f>3.01+0.023-0.05-0.058-0.107-0.216-0.104-0.42-0.023-0.108-0.213-0.011-0.405-0.214-0.215-0.05-0.011-0.031</f>
        <v>0.7969999999999996</v>
      </c>
    </row>
    <row r="489" spans="1:5" x14ac:dyDescent="0.3">
      <c r="A489" s="10">
        <v>48</v>
      </c>
      <c r="B489" s="10">
        <v>10</v>
      </c>
      <c r="C489" s="10" t="s">
        <v>28</v>
      </c>
      <c r="D489" s="10" t="s">
        <v>1</v>
      </c>
      <c r="E489" s="15">
        <f>1.617+4.446-0.199-0.397-0.96-0.02-0.011-0.011-0.011-0.03-0.201</f>
        <v>4.2229999999999999</v>
      </c>
    </row>
    <row r="490" spans="1:5" x14ac:dyDescent="0.3">
      <c r="A490" s="10">
        <v>48</v>
      </c>
      <c r="B490" s="10">
        <v>10</v>
      </c>
      <c r="C490" s="10" t="s">
        <v>30</v>
      </c>
      <c r="D490" s="10" t="s">
        <v>1</v>
      </c>
      <c r="E490" s="15">
        <f>5.73+0.267</f>
        <v>5.9970000000000008</v>
      </c>
    </row>
    <row r="491" spans="1:5" x14ac:dyDescent="0.3">
      <c r="A491" s="8">
        <v>48</v>
      </c>
      <c r="B491" s="8">
        <v>10</v>
      </c>
      <c r="C491" s="8" t="s">
        <v>30</v>
      </c>
      <c r="D491" s="8" t="s">
        <v>1</v>
      </c>
      <c r="E491" s="9">
        <v>5</v>
      </c>
    </row>
    <row r="492" spans="1:5" x14ac:dyDescent="0.3">
      <c r="A492" s="10">
        <v>48</v>
      </c>
      <c r="B492" s="10">
        <v>10</v>
      </c>
      <c r="C492" s="10" t="s">
        <v>30</v>
      </c>
      <c r="D492" s="10" t="s">
        <v>4</v>
      </c>
      <c r="E492" s="15">
        <f>2.98-0.123-0.058-0.06-0.363-0.52-0.01+0.067-0.059-0.065-0.025-0.059-0.058-0.021-0.038-0.119-0.041-0.415</f>
        <v>1.0130000000000006</v>
      </c>
    </row>
    <row r="493" spans="1:5" x14ac:dyDescent="0.3">
      <c r="A493" s="10">
        <v>48</v>
      </c>
      <c r="B493" s="10">
        <v>10</v>
      </c>
      <c r="C493" s="10" t="s">
        <v>29</v>
      </c>
      <c r="D493" s="10" t="s">
        <v>3</v>
      </c>
      <c r="E493" s="15">
        <f>2.995-0.006-0.016-0.006-0.024-0.03-0.03-0.016-0.006</f>
        <v>2.8610000000000011</v>
      </c>
    </row>
    <row r="494" spans="1:5" x14ac:dyDescent="0.3">
      <c r="A494" s="8">
        <v>48.3</v>
      </c>
      <c r="B494" s="8">
        <v>10</v>
      </c>
      <c r="C494" s="8" t="s">
        <v>29</v>
      </c>
      <c r="D494" s="8" t="s">
        <v>3</v>
      </c>
      <c r="E494" s="9">
        <f>1.076-0.713-0.01-0.063-0.073+0.01+1.445</f>
        <v>1.6720000000000002</v>
      </c>
    </row>
    <row r="495" spans="1:5" x14ac:dyDescent="0.3">
      <c r="A495" s="10">
        <v>48</v>
      </c>
      <c r="B495" s="10">
        <v>12</v>
      </c>
      <c r="C495" s="10">
        <v>20</v>
      </c>
      <c r="D495" s="10" t="s">
        <v>1</v>
      </c>
      <c r="E495" s="15">
        <f>5.47-0.114-0.328-0.113-1.08+0.075-0.567-0.22-0.034-0.192-0.224+0.077-0.023-0.089-0.012-0.011</f>
        <v>2.6149999999999984</v>
      </c>
    </row>
    <row r="496" spans="1:5" x14ac:dyDescent="0.3">
      <c r="A496" s="8">
        <v>48</v>
      </c>
      <c r="B496" s="8">
        <v>12</v>
      </c>
      <c r="C496" s="8" t="s">
        <v>30</v>
      </c>
      <c r="D496" s="8" t="s">
        <v>1</v>
      </c>
      <c r="E496" s="9">
        <v>5</v>
      </c>
    </row>
    <row r="497" spans="1:5" x14ac:dyDescent="0.3">
      <c r="A497" s="10">
        <v>48</v>
      </c>
      <c r="B497" s="10">
        <v>12</v>
      </c>
      <c r="C497" s="10" t="s">
        <v>106</v>
      </c>
      <c r="D497" s="10" t="s">
        <v>1</v>
      </c>
      <c r="E497" s="15">
        <v>2.145</v>
      </c>
    </row>
    <row r="498" spans="1:5" x14ac:dyDescent="0.3">
      <c r="A498" s="8">
        <v>48.5</v>
      </c>
      <c r="B498" s="8">
        <v>7.6</v>
      </c>
      <c r="C498" s="8" t="s">
        <v>33</v>
      </c>
      <c r="D498" s="8" t="s">
        <v>17</v>
      </c>
      <c r="E498" s="9">
        <v>1.88</v>
      </c>
    </row>
    <row r="499" spans="1:5" x14ac:dyDescent="0.3">
      <c r="A499" s="10">
        <v>50</v>
      </c>
      <c r="B499" s="10">
        <v>2.5</v>
      </c>
      <c r="C499" s="10">
        <v>20</v>
      </c>
      <c r="D499" s="10" t="s">
        <v>4</v>
      </c>
      <c r="E499" s="15">
        <f>0.52+0.46-0.022-0.017-0.053-0.006-0.055-0.029-0.068-0.021-0.012-0.017-0.005-0.5+0.3-0.029-0.034+2.928</f>
        <v>3.34</v>
      </c>
    </row>
    <row r="500" spans="1:5" x14ac:dyDescent="0.3">
      <c r="A500" s="10">
        <v>50</v>
      </c>
      <c r="B500" s="10">
        <v>2.5</v>
      </c>
      <c r="C500" s="10" t="s">
        <v>26</v>
      </c>
      <c r="D500" s="10" t="s">
        <v>4</v>
      </c>
      <c r="E500" s="15">
        <f>1.29-0.126</f>
        <v>1.1640000000000001</v>
      </c>
    </row>
    <row r="501" spans="1:5" x14ac:dyDescent="0.3">
      <c r="A501" s="10">
        <v>50</v>
      </c>
      <c r="B501" s="10">
        <v>2.5</v>
      </c>
      <c r="C501" s="10" t="s">
        <v>26</v>
      </c>
      <c r="D501" s="10" t="s">
        <v>4</v>
      </c>
      <c r="E501" s="15">
        <f>2.5-1.29</f>
        <v>1.21</v>
      </c>
    </row>
    <row r="502" spans="1:5" x14ac:dyDescent="0.3">
      <c r="A502" s="10">
        <v>50</v>
      </c>
      <c r="B502" s="10">
        <v>3</v>
      </c>
      <c r="C502" s="10" t="s">
        <v>26</v>
      </c>
      <c r="D502" s="10" t="s">
        <v>4</v>
      </c>
      <c r="E502" s="15">
        <f>0.92-0.038-0.014-0.024-0.02</f>
        <v>0.82399999999999995</v>
      </c>
    </row>
    <row r="503" spans="1:5" x14ac:dyDescent="0.3">
      <c r="A503" s="10">
        <v>50</v>
      </c>
      <c r="B503" s="10">
        <v>3</v>
      </c>
      <c r="C503" s="10" t="s">
        <v>26</v>
      </c>
      <c r="D503" s="10" t="s">
        <v>4</v>
      </c>
      <c r="E503" s="15">
        <f>3-0.92</f>
        <v>2.08</v>
      </c>
    </row>
    <row r="504" spans="1:5" x14ac:dyDescent="0.3">
      <c r="A504" s="10">
        <v>50</v>
      </c>
      <c r="B504" s="10">
        <v>4</v>
      </c>
      <c r="C504" s="10">
        <v>20</v>
      </c>
      <c r="D504" s="10" t="s">
        <v>1</v>
      </c>
      <c r="E504" s="15">
        <f>1.44+2.17+0.142+0.034-0.016+0.008-0.029-0.105-0.174-0.017-0.045-0.019-0.046-0.09-0.046-0.008-0.042-0.088-0.088-0.021-0.016-0.086-0.011-0.045-0.016-0.005-0.003-0.046-0.042-0.045-0.085-0.021-0.051-0.044-0.021-0.046-0.06-0.03-0.019-0.016-0.031-0.07-0.009-0.006-0.312-0.13-0.045-0.044-0.007-0.011-0.045-0.015-0.016-0.118-0.009-0.44-1.11+0.174-0.041+0.04-0.007+0.002</f>
        <v>2.0000000000016159E-3</v>
      </c>
    </row>
    <row r="505" spans="1:5" x14ac:dyDescent="0.3">
      <c r="A505" s="8">
        <v>50</v>
      </c>
      <c r="B505" s="8">
        <v>4</v>
      </c>
      <c r="C505" s="8">
        <v>20</v>
      </c>
      <c r="D505" s="8" t="s">
        <v>1</v>
      </c>
      <c r="E505" s="9">
        <v>2</v>
      </c>
    </row>
    <row r="506" spans="1:5" x14ac:dyDescent="0.3">
      <c r="A506" s="10">
        <v>50</v>
      </c>
      <c r="B506" s="10">
        <v>4</v>
      </c>
      <c r="C506" s="10">
        <v>20</v>
      </c>
      <c r="D506" s="10" t="s">
        <v>4</v>
      </c>
      <c r="E506" s="15">
        <f>1.58-0.012-0.016-0.037-0.013-0.006-0.003-0.014-0.051-0.028-0.002-0.004-0.021-0.005-0.14-0.012</f>
        <v>1.2160000000000006</v>
      </c>
    </row>
    <row r="507" spans="1:5" x14ac:dyDescent="0.3">
      <c r="A507" s="10">
        <v>50</v>
      </c>
      <c r="B507" s="10">
        <v>4</v>
      </c>
      <c r="C507" s="10" t="s">
        <v>26</v>
      </c>
      <c r="D507" s="10" t="s">
        <v>4</v>
      </c>
      <c r="E507" s="15">
        <f>1.58-0.023-0.136-0.048-0.048-0.008-0.031-0.097-0.003-0.011-0.05-0.166-0.22-0.05-0.1-0.002</f>
        <v>0.58700000000000041</v>
      </c>
    </row>
    <row r="508" spans="1:5" x14ac:dyDescent="0.3">
      <c r="A508" s="8">
        <v>50</v>
      </c>
      <c r="B508" s="8">
        <v>5</v>
      </c>
      <c r="C508" s="8">
        <v>20</v>
      </c>
      <c r="D508" s="8" t="s">
        <v>1</v>
      </c>
      <c r="E508" s="9">
        <v>2</v>
      </c>
    </row>
    <row r="509" spans="1:5" x14ac:dyDescent="0.3">
      <c r="A509" s="10">
        <v>50</v>
      </c>
      <c r="B509" s="10">
        <v>5</v>
      </c>
      <c r="C509" s="10">
        <v>20</v>
      </c>
      <c r="D509" s="10" t="s">
        <v>4</v>
      </c>
      <c r="E509" s="15">
        <f>1.62-0.038-0.002-0.023-0.003-0.007-0.013-0.013-0.013-0.004-0.006-0.007-0.01-0.037-0.061-0.031-0.01-0.063</f>
        <v>1.279000000000001</v>
      </c>
    </row>
    <row r="510" spans="1:5" x14ac:dyDescent="0.3">
      <c r="A510" s="10">
        <v>50</v>
      </c>
      <c r="B510" s="10">
        <v>5</v>
      </c>
      <c r="C510" s="10" t="s">
        <v>26</v>
      </c>
      <c r="D510" s="10" t="s">
        <v>64</v>
      </c>
      <c r="E510" s="15">
        <v>5</v>
      </c>
    </row>
    <row r="511" spans="1:5" x14ac:dyDescent="0.3">
      <c r="A511" s="10">
        <v>50</v>
      </c>
      <c r="B511" s="10">
        <v>5</v>
      </c>
      <c r="C511" s="10" t="s">
        <v>26</v>
      </c>
      <c r="D511" s="10" t="s">
        <v>4</v>
      </c>
      <c r="E511" s="15">
        <f>2.04+0.84-0.013-0.06-0.122-0.007-0.015-0.007-0.009-0.23-0.014-0.037-0.037-0.007-0.003</f>
        <v>2.319</v>
      </c>
    </row>
    <row r="512" spans="1:5" x14ac:dyDescent="0.3">
      <c r="A512" s="8">
        <v>50</v>
      </c>
      <c r="B512" s="8">
        <v>5</v>
      </c>
      <c r="C512" s="8" t="s">
        <v>30</v>
      </c>
      <c r="D512" s="8" t="s">
        <v>1</v>
      </c>
      <c r="E512" s="9">
        <v>5</v>
      </c>
    </row>
    <row r="513" spans="1:5" x14ac:dyDescent="0.3">
      <c r="A513" s="10">
        <v>50</v>
      </c>
      <c r="B513" s="10">
        <v>5</v>
      </c>
      <c r="C513" s="10" t="s">
        <v>30</v>
      </c>
      <c r="D513" s="10" t="s">
        <v>4</v>
      </c>
      <c r="E513" s="15">
        <f>1.05-0.123-0.007-0.052</f>
        <v>0.86799999999999999</v>
      </c>
    </row>
    <row r="514" spans="1:5" x14ac:dyDescent="0.3">
      <c r="A514" s="10">
        <v>50</v>
      </c>
      <c r="B514" s="10">
        <v>6</v>
      </c>
      <c r="C514" s="10">
        <v>20</v>
      </c>
      <c r="D514" s="10" t="s">
        <v>1</v>
      </c>
      <c r="E514" s="15">
        <f>3.295-0.067-0.051-0.133-0.18-0.33-0.004-0.09-0.245-0.067-0.063-0.009-0.12-0.26-0.015-0.03-0.064-0.022-0.006-0.067-0.19-0.037-0.062-0.187-0.009-0.012-0.031-0.115-0.012-0.029-0.024-0.035-0.044-0.022-0.021-0.022-0.064-0.009-0.47-0.014-0.007-0.022-0.01-0.044+0.16-0.034-0.022-0.009-0.008-0.12+0.06-0.002-0.005+0.001</f>
        <v>9.9999999999897914E-4</v>
      </c>
    </row>
    <row r="515" spans="1:5" x14ac:dyDescent="0.3">
      <c r="A515" s="10">
        <v>50</v>
      </c>
      <c r="B515" s="10">
        <v>6</v>
      </c>
      <c r="C515" s="10">
        <v>20</v>
      </c>
      <c r="D515" s="10" t="s">
        <v>1</v>
      </c>
      <c r="E515" s="15">
        <f>0.12-0.03-0.006-0.015-0.015-0.013-0.008-0.012-0.011+0.012-0.018</f>
        <v>3.9999999999999966E-3</v>
      </c>
    </row>
    <row r="516" spans="1:5" x14ac:dyDescent="0.3">
      <c r="A516" s="8">
        <v>50</v>
      </c>
      <c r="B516" s="8">
        <v>6</v>
      </c>
      <c r="C516" s="8">
        <v>20</v>
      </c>
      <c r="D516" s="8" t="s">
        <v>1</v>
      </c>
      <c r="E516" s="9">
        <v>5</v>
      </c>
    </row>
    <row r="517" spans="1:5" x14ac:dyDescent="0.3">
      <c r="A517" s="10">
        <v>50</v>
      </c>
      <c r="B517" s="10">
        <v>6</v>
      </c>
      <c r="C517" s="10">
        <v>20</v>
      </c>
      <c r="D517" s="10" t="s">
        <v>4</v>
      </c>
      <c r="E517" s="15">
        <f>3-0.046-0.21-0.046-0.046-0.008-0.045-0.136-0.038-0.41-0.046-0.091-0.012-0.004-0.016-0.005-0.046-0.046-0.046-0.046-0.21-0.046-0.091-0.046-0.026-0.36-0.01-0.022-0.013-0.046-0.008-0.012-0.205-0.013-0.045-0.022-0.004-0.019-0.012-0.005-0.023-0.012-0.008-0.046-0.008-0.022</f>
        <v>0.32300000000000023</v>
      </c>
    </row>
    <row r="518" spans="1:5" x14ac:dyDescent="0.3">
      <c r="A518" s="10">
        <v>50</v>
      </c>
      <c r="B518" s="10">
        <v>6</v>
      </c>
      <c r="C518" s="10" t="s">
        <v>26</v>
      </c>
      <c r="D518" s="10" t="s">
        <v>4</v>
      </c>
      <c r="E518" s="15">
        <f>2.12-0.026-0.022-0.004-0.004</f>
        <v>2.0640000000000005</v>
      </c>
    </row>
    <row r="519" spans="1:5" x14ac:dyDescent="0.3">
      <c r="A519" s="8">
        <v>50</v>
      </c>
      <c r="B519" s="8">
        <v>6</v>
      </c>
      <c r="C519" s="8">
        <v>45</v>
      </c>
      <c r="D519" s="8" t="s">
        <v>1</v>
      </c>
      <c r="E519" s="9">
        <v>5</v>
      </c>
    </row>
    <row r="520" spans="1:5" x14ac:dyDescent="0.3">
      <c r="A520" s="8">
        <v>50</v>
      </c>
      <c r="B520" s="8">
        <v>8</v>
      </c>
      <c r="C520" s="8">
        <v>20</v>
      </c>
      <c r="D520" s="8" t="s">
        <v>1</v>
      </c>
      <c r="E520" s="9">
        <v>5</v>
      </c>
    </row>
    <row r="521" spans="1:5" x14ac:dyDescent="0.3">
      <c r="A521" s="10">
        <v>50</v>
      </c>
      <c r="B521" s="10">
        <v>8</v>
      </c>
      <c r="C521" s="10" t="s">
        <v>26</v>
      </c>
      <c r="D521" s="10" t="s">
        <v>4</v>
      </c>
      <c r="E521" s="15">
        <f>1.98-0.012-0.044-0.027-0.087-0.023-0.176-0.06-0.175-0.08-0.055-0.012-0.008-0.004-0.027-0.061-0.172-0.01-0.004</f>
        <v>0.94300000000000028</v>
      </c>
    </row>
    <row r="522" spans="1:5" x14ac:dyDescent="0.3">
      <c r="A522" s="10">
        <v>50</v>
      </c>
      <c r="B522" s="10">
        <v>8</v>
      </c>
      <c r="C522" s="10" t="s">
        <v>26</v>
      </c>
      <c r="D522" s="10" t="s">
        <v>64</v>
      </c>
      <c r="E522" s="15">
        <v>5</v>
      </c>
    </row>
    <row r="523" spans="1:5" x14ac:dyDescent="0.3">
      <c r="A523" s="8">
        <v>50</v>
      </c>
      <c r="B523" s="8">
        <v>10</v>
      </c>
      <c r="C523" s="8">
        <v>20</v>
      </c>
      <c r="D523" s="8" t="s">
        <v>1</v>
      </c>
      <c r="E523" s="9">
        <v>5</v>
      </c>
    </row>
    <row r="524" spans="1:5" x14ac:dyDescent="0.3">
      <c r="A524" s="10">
        <v>50</v>
      </c>
      <c r="B524" s="10">
        <v>10</v>
      </c>
      <c r="C524" s="10">
        <v>45</v>
      </c>
      <c r="D524" s="10" t="s">
        <v>1</v>
      </c>
      <c r="E524" s="15">
        <f>3.405+0.104-0.031-0.073-0.53-0.218-0.11-0.052-0.543-0.047-0.021-1.15-0.011-0.32-0.219-0.087</f>
        <v>9.7000000000000197E-2</v>
      </c>
    </row>
    <row r="525" spans="1:5" x14ac:dyDescent="0.3">
      <c r="A525" s="8">
        <v>50</v>
      </c>
      <c r="B525" s="8">
        <v>10</v>
      </c>
      <c r="C525" s="8">
        <v>45</v>
      </c>
      <c r="D525" s="8" t="s">
        <v>1</v>
      </c>
      <c r="E525" s="9">
        <v>5</v>
      </c>
    </row>
    <row r="526" spans="1:5" x14ac:dyDescent="0.3">
      <c r="A526" s="10">
        <v>50</v>
      </c>
      <c r="B526" s="10">
        <v>10</v>
      </c>
      <c r="C526" s="10" t="s">
        <v>28</v>
      </c>
      <c r="D526" s="10" t="s">
        <v>4</v>
      </c>
      <c r="E526" s="15">
        <f>2.91+0.99-0.016-0.037-0.995-0.032-0.042-0.093-0.014-0.011-0.13-0.032-0.022-0.066-0.067-0.053-0.005-0.003-0.022-0.464</f>
        <v>1.7960000000000012</v>
      </c>
    </row>
    <row r="527" spans="1:5" x14ac:dyDescent="0.3">
      <c r="A527" s="8">
        <v>50</v>
      </c>
      <c r="B527" s="8">
        <v>10</v>
      </c>
      <c r="C527" s="8" t="s">
        <v>30</v>
      </c>
      <c r="D527" s="8" t="s">
        <v>1</v>
      </c>
      <c r="E527" s="9">
        <v>5</v>
      </c>
    </row>
    <row r="528" spans="1:5" x14ac:dyDescent="0.3">
      <c r="A528" s="8">
        <v>50</v>
      </c>
      <c r="B528" s="8">
        <v>11</v>
      </c>
      <c r="C528" s="8" t="s">
        <v>31</v>
      </c>
      <c r="D528" s="8" t="s">
        <v>32</v>
      </c>
      <c r="E528" s="9">
        <f>6.24-0.089-0.18-0.013-0.099-0.025</f>
        <v>5.8339999999999996</v>
      </c>
    </row>
    <row r="529" spans="1:5" x14ac:dyDescent="0.3">
      <c r="A529" s="8">
        <v>50</v>
      </c>
      <c r="B529" s="8">
        <v>12</v>
      </c>
      <c r="C529" s="8">
        <v>20</v>
      </c>
      <c r="D529" s="8" t="s">
        <v>1</v>
      </c>
      <c r="E529" s="9">
        <v>5</v>
      </c>
    </row>
    <row r="530" spans="1:5" x14ac:dyDescent="0.3">
      <c r="A530" s="10">
        <v>50</v>
      </c>
      <c r="B530" s="10">
        <v>12</v>
      </c>
      <c r="C530" s="10" t="s">
        <v>26</v>
      </c>
      <c r="D530" s="10" t="s">
        <v>64</v>
      </c>
      <c r="E530" s="15">
        <f>6.856-0.013-0.495-0.152-0.29-0.036-0.019-0.075-0.037-0.296-0.152-0.153-0.037-0.075-0.38-0.007-0.152-0.63-0.141</f>
        <v>3.7160000000000002</v>
      </c>
    </row>
    <row r="531" spans="1:5" x14ac:dyDescent="0.3">
      <c r="A531" s="10">
        <v>50</v>
      </c>
      <c r="B531" s="10">
        <v>12</v>
      </c>
      <c r="C531" s="10" t="s">
        <v>26</v>
      </c>
      <c r="D531" s="10" t="s">
        <v>4</v>
      </c>
      <c r="E531" s="15">
        <f>2.97-0.013</f>
        <v>2.9570000000000003</v>
      </c>
    </row>
    <row r="532" spans="1:5" x14ac:dyDescent="0.3">
      <c r="A532" s="10">
        <v>50</v>
      </c>
      <c r="B532" s="10">
        <v>12</v>
      </c>
      <c r="C532" s="10">
        <v>35</v>
      </c>
      <c r="D532" s="10" t="s">
        <v>64</v>
      </c>
      <c r="E532" s="15">
        <f>7-0.583</f>
        <v>6.4169999999999998</v>
      </c>
    </row>
    <row r="533" spans="1:5" x14ac:dyDescent="0.3">
      <c r="A533" s="10">
        <v>50</v>
      </c>
      <c r="B533" s="10">
        <v>12</v>
      </c>
      <c r="C533" s="10">
        <v>45</v>
      </c>
      <c r="D533" s="10" t="s">
        <v>1</v>
      </c>
      <c r="E533" s="15">
        <f>2.39+2.59-0.812-0.077-0.025-0.206-0.076-0.075-0.012-0.155-0.036-0.028-1.6-0.157-0.232-0.231-0.235-0.077</f>
        <v>0.94599999999999973</v>
      </c>
    </row>
    <row r="534" spans="1:5" x14ac:dyDescent="0.3">
      <c r="A534" s="10">
        <v>50</v>
      </c>
      <c r="B534" s="10">
        <v>12</v>
      </c>
      <c r="C534" s="10">
        <v>45</v>
      </c>
      <c r="D534" s="10" t="s">
        <v>64</v>
      </c>
      <c r="E534" s="15">
        <f>4.316-0.445-0.64</f>
        <v>3.2309999999999999</v>
      </c>
    </row>
    <row r="535" spans="1:5" x14ac:dyDescent="0.3">
      <c r="A535" s="10">
        <v>50</v>
      </c>
      <c r="B535" s="10">
        <v>12</v>
      </c>
      <c r="C535" s="10">
        <v>45</v>
      </c>
      <c r="D535" s="10" t="s">
        <v>64</v>
      </c>
      <c r="E535" s="15">
        <f>5-4.316</f>
        <v>0.68400000000000016</v>
      </c>
    </row>
    <row r="536" spans="1:5" x14ac:dyDescent="0.3">
      <c r="A536" s="10">
        <v>50</v>
      </c>
      <c r="B536" s="10">
        <v>12</v>
      </c>
      <c r="C536" s="10" t="s">
        <v>30</v>
      </c>
      <c r="D536" s="10" t="s">
        <v>1</v>
      </c>
      <c r="E536" s="15">
        <f>5.477-1.24-0.069-0.41-0.038-0.037-0.069-0.033</f>
        <v>3.5810000000000004</v>
      </c>
    </row>
    <row r="537" spans="1:5" x14ac:dyDescent="0.3">
      <c r="A537" s="10">
        <v>50</v>
      </c>
      <c r="B537" s="10">
        <v>12</v>
      </c>
      <c r="C537" s="10" t="s">
        <v>30</v>
      </c>
      <c r="D537" s="10" t="s">
        <v>64</v>
      </c>
      <c r="E537" s="15">
        <f>5.118-1.47-0.53</f>
        <v>3.1180000000000003</v>
      </c>
    </row>
    <row r="538" spans="1:5" x14ac:dyDescent="0.3">
      <c r="A538" s="8">
        <v>50</v>
      </c>
      <c r="B538" s="8">
        <v>12</v>
      </c>
      <c r="C538" s="8" t="s">
        <v>30</v>
      </c>
      <c r="D538" s="8" t="s">
        <v>4</v>
      </c>
      <c r="E538" s="9">
        <v>3</v>
      </c>
    </row>
    <row r="539" spans="1:5" x14ac:dyDescent="0.3">
      <c r="A539" s="10">
        <v>51</v>
      </c>
      <c r="B539" s="10">
        <v>2.5</v>
      </c>
      <c r="C539" s="10">
        <v>20</v>
      </c>
      <c r="D539" s="10" t="s">
        <v>4</v>
      </c>
      <c r="E539" s="15">
        <f>0.42+1.063-0.014+9.97+3.9+7.535-0.014-0.004-0.027</f>
        <v>22.829000000000001</v>
      </c>
    </row>
    <row r="540" spans="1:5" x14ac:dyDescent="0.3">
      <c r="A540" s="10">
        <v>51</v>
      </c>
      <c r="B540" s="10">
        <v>2.5</v>
      </c>
      <c r="C540" s="10" t="s">
        <v>26</v>
      </c>
      <c r="D540" s="10" t="s">
        <v>4</v>
      </c>
      <c r="E540" s="15">
        <f>1.99-0.004</f>
        <v>1.986</v>
      </c>
    </row>
    <row r="541" spans="1:5" x14ac:dyDescent="0.3">
      <c r="A541" s="10">
        <v>51</v>
      </c>
      <c r="B541" s="10">
        <v>2.5</v>
      </c>
      <c r="C541" s="10" t="s">
        <v>26</v>
      </c>
      <c r="D541" s="10" t="s">
        <v>4</v>
      </c>
      <c r="E541" s="15">
        <f>3-1.99</f>
        <v>1.01</v>
      </c>
    </row>
    <row r="542" spans="1:5" x14ac:dyDescent="0.3">
      <c r="A542" s="10">
        <v>51</v>
      </c>
      <c r="B542" s="10">
        <v>3.5</v>
      </c>
      <c r="C542" s="10">
        <v>20</v>
      </c>
      <c r="D542" s="10" t="s">
        <v>1</v>
      </c>
      <c r="E542" s="15">
        <f>1.4-0.081-0.027-0.016-0.033-0.04-0.12-0.077-0.003-0.115-0.008-0.012-0.009-0.145-0.28-0.039-0.009-0.03-0.027-0.013+3.06-0.004</f>
        <v>3.3720000000000003</v>
      </c>
    </row>
    <row r="543" spans="1:5" x14ac:dyDescent="0.3">
      <c r="A543" s="10">
        <v>51</v>
      </c>
      <c r="B543" s="10">
        <v>3.5</v>
      </c>
      <c r="C543" s="10" t="s">
        <v>26</v>
      </c>
      <c r="D543" s="10" t="s">
        <v>1</v>
      </c>
      <c r="E543" s="15">
        <f>4.808-0.075-0.042-0.039-0.003-0.006-0.007-0.148-0.061-0.004-0.005-0.037-0.087-0.041-0.03-0.16-0.009-3.915-0.03</f>
        <v>0.10900000000000024</v>
      </c>
    </row>
    <row r="544" spans="1:5" x14ac:dyDescent="0.3">
      <c r="A544" s="10">
        <v>51</v>
      </c>
      <c r="B544" s="10">
        <v>3.5</v>
      </c>
      <c r="C544" s="10" t="s">
        <v>26</v>
      </c>
      <c r="D544" s="10" t="s">
        <v>1</v>
      </c>
      <c r="E544" s="15">
        <f>3.915-0.441-0.003-0.82-0.252-0.083-0.044-0.037-0.009-0.042-0.041-0.04-0.079-0.042-0.036-0.036-0.005-0.037-0.027-0.037-1.84+0.077-0.009</f>
        <v>3.2000000000000188E-2</v>
      </c>
    </row>
    <row r="545" spans="1:5" x14ac:dyDescent="0.3">
      <c r="A545" s="10">
        <v>51</v>
      </c>
      <c r="B545" s="10">
        <v>4</v>
      </c>
      <c r="C545" s="10">
        <v>20</v>
      </c>
      <c r="D545" s="10" t="s">
        <v>4</v>
      </c>
      <c r="E545" s="15">
        <f>2.57-0.134-2.45+0.039</f>
        <v>2.4999999999999765E-2</v>
      </c>
    </row>
    <row r="546" spans="1:5" x14ac:dyDescent="0.3">
      <c r="A546" s="10">
        <v>51</v>
      </c>
      <c r="B546" s="10">
        <v>4</v>
      </c>
      <c r="C546" s="10">
        <v>20</v>
      </c>
      <c r="D546" s="10" t="s">
        <v>4</v>
      </c>
      <c r="E546" s="15">
        <f>2.45+0.622-0.06-0.014-0.037-0.007-0.011-0.114-0.009-0.01-0.011</f>
        <v>2.7990000000000004</v>
      </c>
    </row>
    <row r="547" spans="1:5" x14ac:dyDescent="0.3">
      <c r="A547" s="10">
        <v>51</v>
      </c>
      <c r="B547" s="10">
        <v>4</v>
      </c>
      <c r="C547" s="10" t="s">
        <v>26</v>
      </c>
      <c r="D547" s="10" t="s">
        <v>4</v>
      </c>
      <c r="E547" s="15">
        <f>1.92-0.012-0.032-0.05-0.007-0.031-0.097-0.018</f>
        <v>1.673</v>
      </c>
    </row>
    <row r="548" spans="1:5" x14ac:dyDescent="0.3">
      <c r="A548" s="10">
        <v>51</v>
      </c>
      <c r="B548" s="10">
        <v>4</v>
      </c>
      <c r="C548" s="10" t="s">
        <v>26</v>
      </c>
      <c r="D548" s="10" t="s">
        <v>4</v>
      </c>
      <c r="E548" s="15">
        <f>3-1.92</f>
        <v>1.08</v>
      </c>
    </row>
    <row r="549" spans="1:5" x14ac:dyDescent="0.3">
      <c r="A549" s="10">
        <v>51</v>
      </c>
      <c r="B549" s="10">
        <v>5</v>
      </c>
      <c r="C549" s="10">
        <v>20</v>
      </c>
      <c r="D549" s="10" t="s">
        <v>4</v>
      </c>
      <c r="E549" s="15">
        <f>1.785+1.4-0.013-0.053-0.033-0.013-0.091-0.155</f>
        <v>2.827</v>
      </c>
    </row>
    <row r="550" spans="1:5" x14ac:dyDescent="0.3">
      <c r="A550" s="10">
        <v>51</v>
      </c>
      <c r="B550" s="10">
        <v>5</v>
      </c>
      <c r="C550" s="10" t="s">
        <v>26</v>
      </c>
      <c r="D550" s="10" t="s">
        <v>4</v>
      </c>
      <c r="E550" s="15">
        <v>1.05</v>
      </c>
    </row>
    <row r="551" spans="1:5" x14ac:dyDescent="0.3">
      <c r="A551" s="10">
        <v>51</v>
      </c>
      <c r="B551" s="10">
        <v>5</v>
      </c>
      <c r="C551" s="10" t="s">
        <v>26</v>
      </c>
      <c r="D551" s="10" t="s">
        <v>4</v>
      </c>
      <c r="E551" s="15">
        <f>3-1.05</f>
        <v>1.95</v>
      </c>
    </row>
    <row r="552" spans="1:5" x14ac:dyDescent="0.3">
      <c r="A552" s="10">
        <v>51</v>
      </c>
      <c r="B552" s="10">
        <v>5.5</v>
      </c>
      <c r="C552" s="10">
        <v>45</v>
      </c>
      <c r="D552" s="10" t="s">
        <v>4</v>
      </c>
      <c r="E552" s="15">
        <f>3.21-0.154-0.046-1.1-0.042-0.021</f>
        <v>1.8470000000000002</v>
      </c>
    </row>
    <row r="553" spans="1:5" x14ac:dyDescent="0.3">
      <c r="A553" s="8">
        <v>51</v>
      </c>
      <c r="B553" s="8">
        <v>5.5</v>
      </c>
      <c r="C553" s="8" t="s">
        <v>30</v>
      </c>
      <c r="D553" s="8" t="s">
        <v>1</v>
      </c>
      <c r="E553" s="9">
        <v>3</v>
      </c>
    </row>
    <row r="554" spans="1:5" x14ac:dyDescent="0.3">
      <c r="A554" s="10">
        <v>51</v>
      </c>
      <c r="B554" s="10">
        <v>5.5</v>
      </c>
      <c r="C554" s="10" t="s">
        <v>30</v>
      </c>
      <c r="D554" s="10" t="s">
        <v>4</v>
      </c>
      <c r="E554" s="15">
        <f>1.04-0.92</f>
        <v>0.12</v>
      </c>
    </row>
    <row r="555" spans="1:5" x14ac:dyDescent="0.3">
      <c r="A555" s="10">
        <v>51</v>
      </c>
      <c r="B555" s="10">
        <v>5.5</v>
      </c>
      <c r="C555" s="10" t="s">
        <v>30</v>
      </c>
      <c r="D555" s="10" t="s">
        <v>4</v>
      </c>
      <c r="E555" s="15">
        <f>0.92-0.028-0.52-0.014-0.059-0.01-0.057-0.114-0.15+0.039</f>
        <v>6.9999999999999854E-3</v>
      </c>
    </row>
    <row r="556" spans="1:5" x14ac:dyDescent="0.3">
      <c r="A556" s="10">
        <v>51</v>
      </c>
      <c r="B556" s="10">
        <v>6</v>
      </c>
      <c r="C556" s="10">
        <v>20</v>
      </c>
      <c r="D556" s="10" t="s">
        <v>1</v>
      </c>
      <c r="E556" s="15">
        <f>5.164-0.081+0.019-0.019-0.081-0.018-0.081-0.005-0.405-0.162-0.405-0.042-0.324-0.243-0.162-1.09-0.018-0.022-0.081-0.022-0.566-0.324</f>
        <v>1.0319999999999989</v>
      </c>
    </row>
    <row r="557" spans="1:5" x14ac:dyDescent="0.3">
      <c r="A557" s="10">
        <v>51</v>
      </c>
      <c r="B557" s="10">
        <v>6</v>
      </c>
      <c r="C557" s="10">
        <v>20</v>
      </c>
      <c r="D557" s="10" t="s">
        <v>4</v>
      </c>
      <c r="E557" s="15">
        <f>1.05-0.034-0.022-0.178-0.082-0.074-0.022-0.655+0.025-0.004</f>
        <v>4.0000000000000972E-3</v>
      </c>
    </row>
    <row r="558" spans="1:5" x14ac:dyDescent="0.3">
      <c r="A558" s="10">
        <v>51</v>
      </c>
      <c r="B558" s="10">
        <v>6</v>
      </c>
      <c r="C558" s="10">
        <v>20</v>
      </c>
      <c r="D558" s="10" t="s">
        <v>4</v>
      </c>
      <c r="E558" s="15">
        <f>0.655-0.027-0.025-0.04</f>
        <v>0.56299999999999994</v>
      </c>
    </row>
    <row r="559" spans="1:5" x14ac:dyDescent="0.3">
      <c r="A559" s="10">
        <v>51</v>
      </c>
      <c r="B559" s="10">
        <v>6</v>
      </c>
      <c r="C559" s="10" t="s">
        <v>26</v>
      </c>
      <c r="D559" s="10" t="s">
        <v>4</v>
      </c>
      <c r="E559" s="15">
        <f>1.02-0.015</f>
        <v>1.0050000000000001</v>
      </c>
    </row>
    <row r="560" spans="1:5" x14ac:dyDescent="0.3">
      <c r="A560" s="10">
        <v>51</v>
      </c>
      <c r="B560" s="10">
        <v>6</v>
      </c>
      <c r="C560" s="10" t="s">
        <v>26</v>
      </c>
      <c r="D560" s="10" t="s">
        <v>4</v>
      </c>
      <c r="E560" s="15">
        <f>2.5-1.02</f>
        <v>1.48</v>
      </c>
    </row>
    <row r="561" spans="1:5" x14ac:dyDescent="0.3">
      <c r="A561" s="8">
        <v>51</v>
      </c>
      <c r="B561" s="8">
        <v>6</v>
      </c>
      <c r="C561" s="8">
        <v>35</v>
      </c>
      <c r="D561" s="8" t="s">
        <v>1</v>
      </c>
      <c r="E561" s="9">
        <v>5</v>
      </c>
    </row>
    <row r="562" spans="1:5" x14ac:dyDescent="0.3">
      <c r="A562" s="10">
        <v>51</v>
      </c>
      <c r="B562" s="10">
        <v>6</v>
      </c>
      <c r="C562" s="10">
        <v>45</v>
      </c>
      <c r="D562" s="10" t="s">
        <v>4</v>
      </c>
      <c r="E562" s="15">
        <f>1.01-0.005-0.085-0.085-0.002</f>
        <v>0.83300000000000018</v>
      </c>
    </row>
    <row r="563" spans="1:5" x14ac:dyDescent="0.3">
      <c r="A563" s="10">
        <v>51</v>
      </c>
      <c r="B563" s="10">
        <v>8</v>
      </c>
      <c r="C563" s="10">
        <v>20</v>
      </c>
      <c r="D563" s="10" t="s">
        <v>64</v>
      </c>
      <c r="E563" s="15">
        <f>6.167-0.028-0.093</f>
        <v>6.0460000000000003</v>
      </c>
    </row>
    <row r="564" spans="1:5" x14ac:dyDescent="0.3">
      <c r="A564" s="10">
        <v>51</v>
      </c>
      <c r="B564" s="10">
        <v>8</v>
      </c>
      <c r="C564" s="10">
        <v>20</v>
      </c>
      <c r="D564" s="10" t="s">
        <v>4</v>
      </c>
      <c r="E564" s="15">
        <f>1.625-0.098+1.07-1.07-1.463</f>
        <v>6.3999999999999835E-2</v>
      </c>
    </row>
    <row r="565" spans="1:5" x14ac:dyDescent="0.3">
      <c r="A565" s="10">
        <v>51</v>
      </c>
      <c r="B565" s="10">
        <v>8</v>
      </c>
      <c r="C565" s="10">
        <v>20</v>
      </c>
      <c r="D565" s="10" t="s">
        <v>4</v>
      </c>
      <c r="E565" s="15">
        <f>1.07+1.463-0.18-0.11-0.03-0.037-0.003-0.012-0.27-0.02-0.053-0.013-0.007-0.011-0.007-0.053-0.052-0.025-0.155-0.043-0.197-0.03-0.011-0.052</f>
        <v>1.162000000000001</v>
      </c>
    </row>
    <row r="566" spans="1:5" x14ac:dyDescent="0.3">
      <c r="A566" s="10">
        <v>51</v>
      </c>
      <c r="B566" s="10">
        <v>8</v>
      </c>
      <c r="C566" s="10" t="s">
        <v>26</v>
      </c>
      <c r="D566" s="10" t="s">
        <v>64</v>
      </c>
      <c r="E566" s="15">
        <f>6.12-0.092-1.303</f>
        <v>4.7250000000000005</v>
      </c>
    </row>
    <row r="567" spans="1:5" x14ac:dyDescent="0.3">
      <c r="A567" s="10">
        <v>51</v>
      </c>
      <c r="B567" s="10">
        <v>8</v>
      </c>
      <c r="C567" s="10" t="s">
        <v>26</v>
      </c>
      <c r="D567" s="10" t="s">
        <v>4</v>
      </c>
      <c r="E567" s="15">
        <f>0.95-0.043</f>
        <v>0.90699999999999992</v>
      </c>
    </row>
    <row r="568" spans="1:5" x14ac:dyDescent="0.3">
      <c r="A568" s="10">
        <v>51</v>
      </c>
      <c r="B568" s="10">
        <v>8</v>
      </c>
      <c r="C568" s="10">
        <v>45</v>
      </c>
      <c r="D568" s="10" t="s">
        <v>4</v>
      </c>
      <c r="E568" s="15">
        <f>1.05-0.048-0.094-0.037-0.028-0.028-0.055-0.019</f>
        <v>0.74099999999999988</v>
      </c>
    </row>
    <row r="569" spans="1:5" x14ac:dyDescent="0.3">
      <c r="A569" s="8">
        <v>51</v>
      </c>
      <c r="B569" s="8">
        <v>10</v>
      </c>
      <c r="C569" s="8">
        <v>20</v>
      </c>
      <c r="D569" s="8" t="s">
        <v>1</v>
      </c>
      <c r="E569" s="9">
        <f>1.96+1.18-0.011+0.083-0.307-0.103-0.011-0.102-0.189-0.104-0.005-0.411-0.102-0.011-0.022-0.011-0.007-0.011-0.011-0.051-0.3-0.017-0.617-0.099-0.008-0.102-0.102-0.103-0.102-0.027-0.055-0.037-0.007</f>
        <v>0.17800000000000013</v>
      </c>
    </row>
    <row r="570" spans="1:5" x14ac:dyDescent="0.3">
      <c r="A570" s="8">
        <v>51</v>
      </c>
      <c r="B570" s="8">
        <v>10</v>
      </c>
      <c r="C570" s="8">
        <v>20</v>
      </c>
      <c r="D570" s="8" t="s">
        <v>1</v>
      </c>
      <c r="E570" s="9">
        <f>0.046+4.2-0.099-0.112-0.343-0.019-0.114-0.012+0.007-0.066-0.114-0.23-0.116-0.066-0.016-1.024-0.116-0.112-0.111-0.116-0.112-0.066-0.11-0.066-0.332-0.882+0.207-0.097</f>
        <v>8.999999999999897E-3</v>
      </c>
    </row>
    <row r="571" spans="1:5" x14ac:dyDescent="0.3">
      <c r="A571" s="8">
        <v>51</v>
      </c>
      <c r="B571" s="8">
        <v>10</v>
      </c>
      <c r="C571" s="8">
        <v>20</v>
      </c>
      <c r="D571" s="8" t="s">
        <v>1</v>
      </c>
      <c r="E571" s="9">
        <v>5</v>
      </c>
    </row>
    <row r="572" spans="1:5" x14ac:dyDescent="0.3">
      <c r="A572" s="8">
        <v>51</v>
      </c>
      <c r="B572" s="8">
        <v>10</v>
      </c>
      <c r="C572" s="8">
        <v>45</v>
      </c>
      <c r="D572" s="8" t="s">
        <v>1</v>
      </c>
      <c r="E572" s="9">
        <v>5</v>
      </c>
    </row>
    <row r="573" spans="1:5" x14ac:dyDescent="0.3">
      <c r="A573" s="10">
        <v>51</v>
      </c>
      <c r="B573" s="10">
        <v>10</v>
      </c>
      <c r="C573" s="10">
        <v>45</v>
      </c>
      <c r="D573" s="10" t="s">
        <v>4</v>
      </c>
      <c r="E573" s="15">
        <f>3.7-0.042-1.7-0.266-0.17-0.349-0.032-0.066-0.085-0.049</f>
        <v>0.94100000000000039</v>
      </c>
    </row>
    <row r="574" spans="1:5" x14ac:dyDescent="0.3">
      <c r="A574" s="10">
        <v>51</v>
      </c>
      <c r="B574" s="10">
        <v>10</v>
      </c>
      <c r="C574" s="10" t="s">
        <v>28</v>
      </c>
      <c r="D574" s="10" t="s">
        <v>4</v>
      </c>
      <c r="E574" s="15">
        <f>2.84-0.085-0.017</f>
        <v>2.738</v>
      </c>
    </row>
    <row r="575" spans="1:5" x14ac:dyDescent="0.3">
      <c r="A575" s="10">
        <v>51</v>
      </c>
      <c r="B575" s="10">
        <v>10</v>
      </c>
      <c r="C575" s="10" t="s">
        <v>30</v>
      </c>
      <c r="D575" s="10" t="s">
        <v>1</v>
      </c>
      <c r="E575" s="15">
        <f>0.092+6.311-0.209-0.103-0.012-1.2-0.216-0.323-1.6-0.066</f>
        <v>2.6739999999999999</v>
      </c>
    </row>
    <row r="576" spans="1:5" x14ac:dyDescent="0.3">
      <c r="A576" s="10">
        <v>51</v>
      </c>
      <c r="B576" s="10">
        <v>12</v>
      </c>
      <c r="C576" s="10">
        <v>20</v>
      </c>
      <c r="D576" s="10" t="s">
        <v>64</v>
      </c>
      <c r="E576" s="15">
        <f>5.44+0.693-0.013-0.082-0.39</f>
        <v>5.6480000000000006</v>
      </c>
    </row>
    <row r="577" spans="1:5" x14ac:dyDescent="0.3">
      <c r="A577" s="10">
        <v>51</v>
      </c>
      <c r="B577" s="10">
        <v>12</v>
      </c>
      <c r="C577" s="10">
        <v>45</v>
      </c>
      <c r="D577" s="10" t="s">
        <v>64</v>
      </c>
      <c r="E577" s="15">
        <v>5.9859999999999998</v>
      </c>
    </row>
    <row r="578" spans="1:5" x14ac:dyDescent="0.3">
      <c r="A578" s="10">
        <v>51</v>
      </c>
      <c r="B578" s="10">
        <v>12</v>
      </c>
      <c r="C578" s="10" t="s">
        <v>28</v>
      </c>
      <c r="D578" s="10" t="s">
        <v>1</v>
      </c>
      <c r="E578" s="15">
        <f>3.222-0.11-1.052+0.039-0.025-0.015-0.019-0.093-0.104-0.025-0.54</f>
        <v>1.278</v>
      </c>
    </row>
    <row r="579" spans="1:5" x14ac:dyDescent="0.3">
      <c r="A579" s="10">
        <v>51</v>
      </c>
      <c r="B579" s="10">
        <v>12</v>
      </c>
      <c r="C579" s="10" t="s">
        <v>30</v>
      </c>
      <c r="D579" s="10" t="s">
        <v>1</v>
      </c>
      <c r="E579" s="15">
        <f>1.468-0.326-0.007+5.05-0.169-0.002</f>
        <v>6.0140000000000002</v>
      </c>
    </row>
    <row r="580" spans="1:5" x14ac:dyDescent="0.3">
      <c r="A580" s="10">
        <v>51</v>
      </c>
      <c r="B580" s="10">
        <v>14</v>
      </c>
      <c r="C580" s="10">
        <v>20</v>
      </c>
      <c r="D580" s="10" t="s">
        <v>64</v>
      </c>
      <c r="E580" s="15">
        <f>2.05+0.18-0.015-0.33-1.66-0.015-0.097-0.021-0.113+0.082-0.037</f>
        <v>2.3999999999999848E-2</v>
      </c>
    </row>
    <row r="581" spans="1:5" x14ac:dyDescent="0.3">
      <c r="A581" s="10">
        <v>51</v>
      </c>
      <c r="B581" s="10">
        <v>14</v>
      </c>
      <c r="C581" s="10">
        <v>20</v>
      </c>
      <c r="D581" s="10" t="s">
        <v>64</v>
      </c>
      <c r="E581" s="15">
        <f>5.944+0.15-0.764</f>
        <v>5.33</v>
      </c>
    </row>
    <row r="582" spans="1:5" x14ac:dyDescent="0.3">
      <c r="A582" s="10">
        <v>51</v>
      </c>
      <c r="B582" s="10">
        <v>14</v>
      </c>
      <c r="C582" s="10" t="s">
        <v>26</v>
      </c>
      <c r="D582" s="10" t="s">
        <v>64</v>
      </c>
      <c r="E582" s="15">
        <f>5.848-0.085-0.17</f>
        <v>5.593</v>
      </c>
    </row>
    <row r="583" spans="1:5" x14ac:dyDescent="0.3">
      <c r="A583" s="10">
        <v>51</v>
      </c>
      <c r="B583" s="10">
        <v>16</v>
      </c>
      <c r="C583" s="10">
        <v>20</v>
      </c>
      <c r="D583" s="10" t="s">
        <v>64</v>
      </c>
      <c r="E583" s="15">
        <f>2.45-0.21+0.34+2.091-0.31-1.787-0.774-0.376-0.942-0.316-0.11</f>
        <v>5.6000000000000869E-2</v>
      </c>
    </row>
    <row r="584" spans="1:5" x14ac:dyDescent="0.3">
      <c r="A584" s="8">
        <v>51</v>
      </c>
      <c r="B584" s="8">
        <v>16</v>
      </c>
      <c r="C584" s="8">
        <v>20</v>
      </c>
      <c r="D584" s="8" t="s">
        <v>1</v>
      </c>
      <c r="E584" s="9">
        <v>5</v>
      </c>
    </row>
    <row r="585" spans="1:5" x14ac:dyDescent="0.3">
      <c r="A585" s="10">
        <v>51</v>
      </c>
      <c r="B585" s="10">
        <v>16</v>
      </c>
      <c r="C585" s="10" t="s">
        <v>26</v>
      </c>
      <c r="D585" s="10" t="s">
        <v>64</v>
      </c>
      <c r="E585" s="15">
        <f>2.937-0.089-0.008-1.556-0.127</f>
        <v>1.1569999999999998</v>
      </c>
    </row>
    <row r="586" spans="1:5" x14ac:dyDescent="0.3">
      <c r="A586" s="10">
        <v>51</v>
      </c>
      <c r="B586" s="10">
        <v>16</v>
      </c>
      <c r="C586" s="10">
        <v>35</v>
      </c>
      <c r="D586" s="10" t="s">
        <v>1</v>
      </c>
      <c r="E586" s="15">
        <f>1.253+1.819</f>
        <v>3.0720000000000001</v>
      </c>
    </row>
    <row r="587" spans="1:5" x14ac:dyDescent="0.3">
      <c r="A587" s="10">
        <v>51</v>
      </c>
      <c r="B587" s="10">
        <v>16</v>
      </c>
      <c r="C587" s="10">
        <v>45</v>
      </c>
      <c r="D587" s="10" t="s">
        <v>1</v>
      </c>
      <c r="E587" s="15">
        <f>0.701+3.507-0.57-0.35</f>
        <v>3.2880000000000003</v>
      </c>
    </row>
    <row r="588" spans="1:5" x14ac:dyDescent="0.3">
      <c r="A588" s="10">
        <v>51</v>
      </c>
      <c r="B588" s="10">
        <v>16</v>
      </c>
      <c r="C588" s="10" t="s">
        <v>30</v>
      </c>
      <c r="D588" s="10" t="s">
        <v>1</v>
      </c>
      <c r="E588" s="15">
        <f>4.65-0.107-0.519-0.106-0.104-0.532-0.029-0.219-0.53-2.54+0.114</f>
        <v>7.8000000000000416E-2</v>
      </c>
    </row>
    <row r="589" spans="1:5" x14ac:dyDescent="0.3">
      <c r="A589" s="10">
        <v>51</v>
      </c>
      <c r="B589" s="10">
        <v>16</v>
      </c>
      <c r="C589" s="10" t="s">
        <v>30</v>
      </c>
      <c r="D589" s="10" t="s">
        <v>1</v>
      </c>
      <c r="E589" s="15">
        <f>2.54-0.03</f>
        <v>2.5100000000000002</v>
      </c>
    </row>
    <row r="590" spans="1:5" x14ac:dyDescent="0.3">
      <c r="A590" s="8">
        <v>53</v>
      </c>
      <c r="B590" s="8">
        <v>3</v>
      </c>
      <c r="C590" s="8">
        <v>20</v>
      </c>
      <c r="D590" s="8" t="s">
        <v>1</v>
      </c>
      <c r="E590" s="9">
        <v>2</v>
      </c>
    </row>
    <row r="591" spans="1:5" x14ac:dyDescent="0.3">
      <c r="A591" s="10">
        <v>53</v>
      </c>
      <c r="B591" s="10">
        <v>4</v>
      </c>
      <c r="C591" s="10">
        <v>20</v>
      </c>
      <c r="D591" s="10" t="s">
        <v>4</v>
      </c>
      <c r="E591" s="15">
        <f>0.44-0.023-0.002-0.019-0.045-0.003-0.019-0.045-0.021-0.021-0.023-0.043-0.022-0.006-0.105-0.015-0.002</f>
        <v>2.5999999999999995E-2</v>
      </c>
    </row>
    <row r="592" spans="1:5" x14ac:dyDescent="0.3">
      <c r="A592" s="10">
        <v>53</v>
      </c>
      <c r="B592" s="10">
        <v>4</v>
      </c>
      <c r="C592" s="10" t="s">
        <v>26</v>
      </c>
      <c r="D592" s="10" t="s">
        <v>4</v>
      </c>
      <c r="E592" s="15">
        <v>1.04</v>
      </c>
    </row>
    <row r="593" spans="1:5" x14ac:dyDescent="0.3">
      <c r="A593" s="10">
        <v>53</v>
      </c>
      <c r="B593" s="10">
        <v>4</v>
      </c>
      <c r="C593" s="10" t="s">
        <v>26</v>
      </c>
      <c r="D593" s="10" t="s">
        <v>4</v>
      </c>
      <c r="E593" s="15">
        <f>3-1.04</f>
        <v>1.96</v>
      </c>
    </row>
    <row r="594" spans="1:5" x14ac:dyDescent="0.3">
      <c r="A594" s="8">
        <v>53</v>
      </c>
      <c r="B594" s="8">
        <v>6</v>
      </c>
      <c r="C594" s="8">
        <v>20</v>
      </c>
      <c r="D594" s="8" t="s">
        <v>1</v>
      </c>
      <c r="E594" s="9">
        <v>5</v>
      </c>
    </row>
    <row r="595" spans="1:5" x14ac:dyDescent="0.3">
      <c r="A595" s="10">
        <v>53</v>
      </c>
      <c r="B595" s="10">
        <v>6</v>
      </c>
      <c r="C595" s="10">
        <v>20</v>
      </c>
      <c r="D595" s="10" t="s">
        <v>64</v>
      </c>
      <c r="E595" s="15">
        <v>5.6280000000000001</v>
      </c>
    </row>
    <row r="596" spans="1:5" x14ac:dyDescent="0.3">
      <c r="A596" s="10">
        <v>53</v>
      </c>
      <c r="B596" s="10">
        <v>6</v>
      </c>
      <c r="C596" s="10" t="s">
        <v>26</v>
      </c>
      <c r="D596" s="10" t="s">
        <v>64</v>
      </c>
      <c r="E596" s="15">
        <v>5.4749999999999996</v>
      </c>
    </row>
    <row r="597" spans="1:5" x14ac:dyDescent="0.3">
      <c r="A597" s="10">
        <v>53</v>
      </c>
      <c r="B597" s="10">
        <v>6.5</v>
      </c>
      <c r="C597" s="10">
        <v>20</v>
      </c>
      <c r="D597" s="10" t="s">
        <v>4</v>
      </c>
      <c r="E597" s="15">
        <f>1.65-0.041</f>
        <v>1.609</v>
      </c>
    </row>
    <row r="598" spans="1:5" x14ac:dyDescent="0.3">
      <c r="A598" s="10">
        <v>53</v>
      </c>
      <c r="B598" s="10">
        <v>6.5</v>
      </c>
      <c r="C598" s="10" t="s">
        <v>26</v>
      </c>
      <c r="D598" s="10" t="s">
        <v>4</v>
      </c>
      <c r="E598" s="15">
        <v>1</v>
      </c>
    </row>
    <row r="599" spans="1:5" x14ac:dyDescent="0.3">
      <c r="A599" s="10">
        <v>53</v>
      </c>
      <c r="B599" s="10">
        <v>6.5</v>
      </c>
      <c r="C599" s="10" t="s">
        <v>26</v>
      </c>
      <c r="D599" s="10" t="s">
        <v>4</v>
      </c>
      <c r="E599" s="15">
        <f>2-1</f>
        <v>1</v>
      </c>
    </row>
    <row r="600" spans="1:5" x14ac:dyDescent="0.3">
      <c r="A600" s="10">
        <v>53</v>
      </c>
      <c r="B600" s="10">
        <v>8</v>
      </c>
      <c r="C600" s="10">
        <v>20</v>
      </c>
      <c r="D600" s="10" t="s">
        <v>1</v>
      </c>
      <c r="E600" s="15">
        <f>0.784+5.228-0.096-0.015-0.01-0.012-0.071-0.288-0.016-0.095-0.062-0.019-0.013-0.099-0.026-0.038-0.07-0.097-0.026-0.29-0.033-0.058</f>
        <v>4.5779999999999994</v>
      </c>
    </row>
    <row r="601" spans="1:5" x14ac:dyDescent="0.3">
      <c r="A601" s="10">
        <v>53</v>
      </c>
      <c r="B601" s="10">
        <v>8</v>
      </c>
      <c r="C601" s="10" t="s">
        <v>26</v>
      </c>
      <c r="D601" s="10" t="s">
        <v>64</v>
      </c>
      <c r="E601" s="15">
        <f>6.181-1.26</f>
        <v>4.9210000000000003</v>
      </c>
    </row>
    <row r="602" spans="1:5" x14ac:dyDescent="0.3">
      <c r="A602" s="10">
        <v>53</v>
      </c>
      <c r="B602" s="10">
        <v>8</v>
      </c>
      <c r="C602" s="10" t="s">
        <v>26</v>
      </c>
      <c r="D602" s="10" t="s">
        <v>4</v>
      </c>
      <c r="E602" s="15">
        <v>5.36</v>
      </c>
    </row>
    <row r="603" spans="1:5" x14ac:dyDescent="0.3">
      <c r="A603" s="10">
        <v>53</v>
      </c>
      <c r="B603" s="10">
        <v>8</v>
      </c>
      <c r="C603" s="10">
        <v>45</v>
      </c>
      <c r="D603" s="10" t="s">
        <v>1</v>
      </c>
      <c r="E603" s="15">
        <f>2.26+0.52+0.49+0.037-0.3-0.038-0.292-0.039-0.388-0.057-0.012-0.096-0.016-0.098</f>
        <v>1.9709999999999999</v>
      </c>
    </row>
    <row r="604" spans="1:5" x14ac:dyDescent="0.3">
      <c r="A604" s="10">
        <v>53</v>
      </c>
      <c r="B604" s="10">
        <v>8</v>
      </c>
      <c r="C604" s="10">
        <v>45</v>
      </c>
      <c r="D604" s="10" t="s">
        <v>4</v>
      </c>
      <c r="E604" s="15">
        <f>0.56-0.03</f>
        <v>0.53</v>
      </c>
    </row>
    <row r="605" spans="1:5" x14ac:dyDescent="0.3">
      <c r="A605" s="10">
        <v>53</v>
      </c>
      <c r="B605" s="10">
        <v>10</v>
      </c>
      <c r="C605" s="10">
        <v>20</v>
      </c>
      <c r="D605" s="10" t="s">
        <v>4</v>
      </c>
      <c r="E605" s="15">
        <f>2.91-0.06-0.023-0.039-0.058-0.081-0.077-0.02-0.078-0.012-0.47-0.06</f>
        <v>1.9320000000000002</v>
      </c>
    </row>
    <row r="606" spans="1:5" x14ac:dyDescent="0.3">
      <c r="A606" s="10">
        <v>53</v>
      </c>
      <c r="B606" s="10">
        <v>10</v>
      </c>
      <c r="C606" s="10">
        <v>45</v>
      </c>
      <c r="D606" s="10" t="s">
        <v>1</v>
      </c>
      <c r="E606" s="15">
        <f>3.49-0.232-2.58</f>
        <v>0.67799999999999994</v>
      </c>
    </row>
    <row r="607" spans="1:5" x14ac:dyDescent="0.3">
      <c r="A607" s="8">
        <v>53</v>
      </c>
      <c r="B607" s="8">
        <v>10</v>
      </c>
      <c r="C607" s="8">
        <v>45</v>
      </c>
      <c r="D607" s="8" t="s">
        <v>1</v>
      </c>
      <c r="E607" s="9">
        <v>5</v>
      </c>
    </row>
    <row r="608" spans="1:5" x14ac:dyDescent="0.3">
      <c r="A608" s="10">
        <v>53</v>
      </c>
      <c r="B608" s="10">
        <v>12</v>
      </c>
      <c r="C608" s="10">
        <v>20</v>
      </c>
      <c r="D608" s="10" t="s">
        <v>1</v>
      </c>
      <c r="E608" s="15">
        <f>5.478-0.12-0.039-0.123-3.035-0.082</f>
        <v>2.0789999999999997</v>
      </c>
    </row>
    <row r="609" spans="1:5" x14ac:dyDescent="0.3">
      <c r="A609" s="10">
        <v>53</v>
      </c>
      <c r="B609" s="10">
        <v>12</v>
      </c>
      <c r="C609" s="10" t="s">
        <v>26</v>
      </c>
      <c r="D609" s="10" t="s">
        <v>64</v>
      </c>
      <c r="E609" s="15">
        <f>5.715-1.35-0.067-0.027-0.078-0.065-0.016-0.046-0.008-0.059-0.025</f>
        <v>3.9739999999999989</v>
      </c>
    </row>
    <row r="610" spans="1:5" x14ac:dyDescent="0.3">
      <c r="A610" s="10">
        <v>53</v>
      </c>
      <c r="B610" s="10">
        <v>12</v>
      </c>
      <c r="C610" s="10" t="s">
        <v>30</v>
      </c>
      <c r="D610" s="10" t="s">
        <v>1</v>
      </c>
      <c r="E610" s="15">
        <f>5.67-1.8-0.75-0.6-0.039-0.059</f>
        <v>2.4219999999999997</v>
      </c>
    </row>
    <row r="611" spans="1:5" x14ac:dyDescent="0.3">
      <c r="A611" s="10">
        <v>53</v>
      </c>
      <c r="B611" s="10">
        <v>12</v>
      </c>
      <c r="C611" s="10" t="s">
        <v>30</v>
      </c>
      <c r="D611" s="10" t="s">
        <v>64</v>
      </c>
      <c r="E611" s="15">
        <f>5.483-0.363-0.014-0.02-0.039-0.83</f>
        <v>4.2169999999999996</v>
      </c>
    </row>
    <row r="612" spans="1:5" x14ac:dyDescent="0.3">
      <c r="A612" s="10">
        <v>53</v>
      </c>
      <c r="B612" s="10">
        <v>12</v>
      </c>
      <c r="C612" s="10" t="s">
        <v>30</v>
      </c>
      <c r="D612" s="10" t="s">
        <v>4</v>
      </c>
      <c r="E612" s="15">
        <f>2.77+0.079-2.79+0.038</f>
        <v>9.7000000000000169E-2</v>
      </c>
    </row>
    <row r="613" spans="1:5" x14ac:dyDescent="0.3">
      <c r="A613" s="8">
        <v>54</v>
      </c>
      <c r="B613" s="8">
        <v>3</v>
      </c>
      <c r="C613" s="8">
        <v>20</v>
      </c>
      <c r="D613" s="8" t="s">
        <v>1</v>
      </c>
      <c r="E613" s="9">
        <v>2</v>
      </c>
    </row>
    <row r="614" spans="1:5" x14ac:dyDescent="0.3">
      <c r="A614" s="10">
        <v>54</v>
      </c>
      <c r="B614" s="10">
        <v>4</v>
      </c>
      <c r="C614" s="10">
        <v>20</v>
      </c>
      <c r="D614" s="10" t="s">
        <v>4</v>
      </c>
      <c r="E614" s="15">
        <f>1.08-0.015-0.028-1.03+0.005-0.006-0.002+0.002</f>
        <v>6.0000000000001181E-3</v>
      </c>
    </row>
    <row r="615" spans="1:5" x14ac:dyDescent="0.3">
      <c r="A615" s="10">
        <v>54</v>
      </c>
      <c r="B615" s="10">
        <v>4</v>
      </c>
      <c r="C615" s="10">
        <v>20</v>
      </c>
      <c r="D615" s="10" t="s">
        <v>4</v>
      </c>
      <c r="E615" s="15">
        <f>1.03-0.058-0.028-0.516-0.034-0.055-0.008-0.029-0.012-0.03</f>
        <v>0.2599999999999999</v>
      </c>
    </row>
    <row r="616" spans="1:5" x14ac:dyDescent="0.3">
      <c r="A616" s="10">
        <v>54</v>
      </c>
      <c r="B616" s="10">
        <v>5</v>
      </c>
      <c r="C616" s="10">
        <v>20</v>
      </c>
      <c r="D616" s="10" t="s">
        <v>4</v>
      </c>
      <c r="E616" s="15">
        <f>1.08-0.062-0.235-0.345</f>
        <v>0.43800000000000006</v>
      </c>
    </row>
    <row r="617" spans="1:5" x14ac:dyDescent="0.3">
      <c r="A617" s="10">
        <v>54</v>
      </c>
      <c r="B617" s="10">
        <v>5</v>
      </c>
      <c r="C617" s="10" t="s">
        <v>26</v>
      </c>
      <c r="D617" s="10" t="s">
        <v>4</v>
      </c>
      <c r="E617" s="15">
        <f>0.57+0.51-0.52-0.064-0.04-0.215-0.04</f>
        <v>0.20100000000000007</v>
      </c>
    </row>
    <row r="618" spans="1:5" x14ac:dyDescent="0.3">
      <c r="A618" s="8">
        <v>54</v>
      </c>
      <c r="B618" s="8">
        <v>5</v>
      </c>
      <c r="C618" s="13">
        <v>35</v>
      </c>
      <c r="D618" s="8" t="s">
        <v>4</v>
      </c>
      <c r="E618" s="9">
        <f>2.18+0.008-0.25-0.011-0.008-0.013-0.061-0.082-0.002-0.043-0.3-0.13-0.009-0.306-0.44-0.142-0.26+0.039+0.029</f>
        <v>0.19900000000000034</v>
      </c>
    </row>
    <row r="619" spans="1:5" x14ac:dyDescent="0.3">
      <c r="A619" s="10">
        <v>54</v>
      </c>
      <c r="B619" s="10">
        <v>5</v>
      </c>
      <c r="C619" s="10">
        <v>35</v>
      </c>
      <c r="D619" s="10" t="s">
        <v>4</v>
      </c>
      <c r="E619" s="15">
        <f>2.65+0.017-0.017-0.09-0.095-0.31-0.014-0.034-0.095-0.033-0.008-0.112</f>
        <v>1.859</v>
      </c>
    </row>
    <row r="620" spans="1:5" x14ac:dyDescent="0.3">
      <c r="A620" s="10">
        <v>54</v>
      </c>
      <c r="B620" s="10">
        <v>5</v>
      </c>
      <c r="C620" s="10">
        <v>45</v>
      </c>
      <c r="D620" s="10" t="s">
        <v>4</v>
      </c>
      <c r="E620" s="15">
        <f>2.4-0.011</f>
        <v>2.3889999999999998</v>
      </c>
    </row>
    <row r="621" spans="1:5" x14ac:dyDescent="0.3">
      <c r="A621" s="10">
        <v>54</v>
      </c>
      <c r="B621" s="10">
        <v>5</v>
      </c>
      <c r="C621" s="10" t="s">
        <v>30</v>
      </c>
      <c r="D621" s="10" t="s">
        <v>4</v>
      </c>
      <c r="E621" s="15">
        <f>1.06-0.035-0.076-0.31+0.035+0.029-0.18-0.149-0.021-0.038-0.011</f>
        <v>0.30400000000000033</v>
      </c>
    </row>
    <row r="622" spans="1:5" x14ac:dyDescent="0.3">
      <c r="A622" s="10">
        <v>54</v>
      </c>
      <c r="B622" s="10">
        <v>6</v>
      </c>
      <c r="C622" s="10">
        <v>20</v>
      </c>
      <c r="D622" s="10" t="s">
        <v>64</v>
      </c>
      <c r="E622" s="15">
        <f>3.06+2.521-0.013</f>
        <v>5.5679999999999996</v>
      </c>
    </row>
    <row r="623" spans="1:5" x14ac:dyDescent="0.3">
      <c r="A623" s="10">
        <v>54</v>
      </c>
      <c r="B623" s="10">
        <v>6</v>
      </c>
      <c r="C623" s="10" t="s">
        <v>26</v>
      </c>
      <c r="D623" s="10" t="s">
        <v>64</v>
      </c>
      <c r="E623" s="15">
        <v>5.3010000000000002</v>
      </c>
    </row>
    <row r="624" spans="1:5" x14ac:dyDescent="0.3">
      <c r="A624" s="8">
        <v>54</v>
      </c>
      <c r="B624" s="8">
        <v>6</v>
      </c>
      <c r="C624" s="8" t="s">
        <v>30</v>
      </c>
      <c r="D624" s="8" t="s">
        <v>1</v>
      </c>
      <c r="E624" s="9">
        <v>5</v>
      </c>
    </row>
    <row r="625" spans="1:5" x14ac:dyDescent="0.3">
      <c r="A625" s="10">
        <v>54</v>
      </c>
      <c r="B625" s="10">
        <v>6.5</v>
      </c>
      <c r="C625" s="10">
        <v>20</v>
      </c>
      <c r="D625" s="10" t="s">
        <v>4</v>
      </c>
      <c r="E625" s="15">
        <v>1</v>
      </c>
    </row>
    <row r="626" spans="1:5" x14ac:dyDescent="0.3">
      <c r="A626" s="10">
        <v>54</v>
      </c>
      <c r="B626" s="10">
        <v>6.5</v>
      </c>
      <c r="C626" s="10">
        <v>20</v>
      </c>
      <c r="D626" s="10" t="s">
        <v>4</v>
      </c>
      <c r="E626" s="15">
        <f>2-1</f>
        <v>1</v>
      </c>
    </row>
    <row r="627" spans="1:5" x14ac:dyDescent="0.3">
      <c r="A627" s="10">
        <v>54</v>
      </c>
      <c r="B627" s="10">
        <v>6.5</v>
      </c>
      <c r="C627" s="10" t="s">
        <v>26</v>
      </c>
      <c r="D627" s="10" t="s">
        <v>4</v>
      </c>
      <c r="E627" s="15">
        <v>1.97</v>
      </c>
    </row>
    <row r="628" spans="1:5" x14ac:dyDescent="0.3">
      <c r="A628" s="10">
        <v>54</v>
      </c>
      <c r="B628" s="10">
        <v>6.5</v>
      </c>
      <c r="C628" s="10">
        <v>45</v>
      </c>
      <c r="D628" s="10" t="s">
        <v>4</v>
      </c>
      <c r="E628" s="15">
        <f>1.99-0.009</f>
        <v>1.9810000000000001</v>
      </c>
    </row>
    <row r="629" spans="1:5" x14ac:dyDescent="0.3">
      <c r="A629" s="10">
        <v>54</v>
      </c>
      <c r="B629" s="10">
        <v>8</v>
      </c>
      <c r="C629" s="10">
        <v>20</v>
      </c>
      <c r="D629" s="10" t="s">
        <v>64</v>
      </c>
      <c r="E629" s="15">
        <f>5.973-0.012-0.068-0.2-0.1</f>
        <v>5.5930000000000009</v>
      </c>
    </row>
    <row r="630" spans="1:5" x14ac:dyDescent="0.3">
      <c r="A630" s="10">
        <v>54</v>
      </c>
      <c r="B630" s="10">
        <v>8</v>
      </c>
      <c r="C630" s="10">
        <v>20</v>
      </c>
      <c r="D630" s="10" t="s">
        <v>4</v>
      </c>
      <c r="E630" s="15">
        <f>1.91-0.02</f>
        <v>1.89</v>
      </c>
    </row>
    <row r="631" spans="1:5" x14ac:dyDescent="0.3">
      <c r="A631" s="10">
        <v>54</v>
      </c>
      <c r="B631" s="10">
        <v>8</v>
      </c>
      <c r="C631" s="10" t="s">
        <v>26</v>
      </c>
      <c r="D631" s="10" t="s">
        <v>64</v>
      </c>
      <c r="E631" s="15">
        <f>5.922-0.04-0.096</f>
        <v>5.7859999999999996</v>
      </c>
    </row>
    <row r="632" spans="1:5" x14ac:dyDescent="0.3">
      <c r="A632" s="10">
        <v>54</v>
      </c>
      <c r="B632" s="10">
        <v>8</v>
      </c>
      <c r="C632" s="10" t="s">
        <v>30</v>
      </c>
      <c r="D632" s="10" t="s">
        <v>1</v>
      </c>
      <c r="E632" s="15">
        <f>3.145-0.74-0.1-0.1-0.105-0.108-0.204-0.021-0.101-0.06-0.111-0.482-0.011-0.92-0.004+0.109</f>
        <v>0.18700000000000017</v>
      </c>
    </row>
    <row r="633" spans="1:5" x14ac:dyDescent="0.3">
      <c r="A633" s="8">
        <v>54</v>
      </c>
      <c r="B633" s="8">
        <v>8</v>
      </c>
      <c r="C633" s="8" t="s">
        <v>30</v>
      </c>
      <c r="D633" s="8" t="s">
        <v>4</v>
      </c>
      <c r="E633" s="9">
        <v>1.66</v>
      </c>
    </row>
    <row r="634" spans="1:5" x14ac:dyDescent="0.3">
      <c r="A634" s="10">
        <v>54</v>
      </c>
      <c r="B634" s="10">
        <v>10</v>
      </c>
      <c r="C634" s="10">
        <v>20</v>
      </c>
      <c r="D634" s="10" t="s">
        <v>1</v>
      </c>
      <c r="E634" s="15">
        <f>0.33+2.41-0.353-0.002-0.015-0.002-0.015-0.081-0.012-0.018-0.012-0.178-0.172-0.019-0.056-0.035</f>
        <v>1.7700000000000011</v>
      </c>
    </row>
    <row r="635" spans="1:5" x14ac:dyDescent="0.3">
      <c r="A635" s="10">
        <v>54</v>
      </c>
      <c r="B635" s="10">
        <v>10</v>
      </c>
      <c r="C635" s="10">
        <v>20</v>
      </c>
      <c r="D635" s="10" t="s">
        <v>4</v>
      </c>
      <c r="E635" s="15">
        <f>4.8+0.051</f>
        <v>4.851</v>
      </c>
    </row>
    <row r="636" spans="1:5" x14ac:dyDescent="0.3">
      <c r="A636" s="10">
        <v>54</v>
      </c>
      <c r="B636" s="10">
        <v>10</v>
      </c>
      <c r="C636" s="10" t="s">
        <v>26</v>
      </c>
      <c r="D636" s="10" t="s">
        <v>64</v>
      </c>
      <c r="E636" s="15">
        <f>2.46-0.225+0.122-0.078-0.062-0.111-0.033-0.004-0.119-0.121-0.035-0.018-0.024-0.016-1.78+0.13</f>
        <v>8.5999999999999965E-2</v>
      </c>
    </row>
    <row r="637" spans="1:5" x14ac:dyDescent="0.3">
      <c r="A637" s="10">
        <v>54</v>
      </c>
      <c r="B637" s="10">
        <v>10</v>
      </c>
      <c r="C637" s="10">
        <v>45</v>
      </c>
      <c r="D637" s="10" t="s">
        <v>4</v>
      </c>
      <c r="E637" s="15">
        <f>3+2.84-0.242+0.038-0.035-0.485-0.31-0.13-0.072-0.024-0.157-0.07-0.077-0.074-0.131-0.152</f>
        <v>3.9189999999999996</v>
      </c>
    </row>
    <row r="638" spans="1:5" x14ac:dyDescent="0.3">
      <c r="A638" s="10">
        <v>54</v>
      </c>
      <c r="B638" s="10">
        <v>10</v>
      </c>
      <c r="C638" s="10" t="s">
        <v>28</v>
      </c>
      <c r="D638" s="10" t="s">
        <v>1</v>
      </c>
      <c r="E638" s="15">
        <f>0.104+4.76-0.069-0.122-0.667-0.07-0.96-0.55-0.244-0.116-0.362-0.023-0.12-0.069-0.052-0.118-0.345-0.12-0.118-0.67-0.012-0.029+0.1-0.047-0.063+0.2</f>
        <v>0.21800000000000053</v>
      </c>
    </row>
    <row r="639" spans="1:5" x14ac:dyDescent="0.3">
      <c r="A639" s="10">
        <v>54</v>
      </c>
      <c r="B639" s="10">
        <v>10</v>
      </c>
      <c r="C639" s="10" t="s">
        <v>28</v>
      </c>
      <c r="D639" s="10" t="s">
        <v>4</v>
      </c>
      <c r="E639" s="15">
        <f>3-0.012-0.044-0.057-0.007-0.173-0.145-0.006-0.07-0.28-0.07-0.275-0.068-0.044-0.113-0.38-0.111-0.131-0.071-0.39-0.007</f>
        <v>0.54600000000000071</v>
      </c>
    </row>
    <row r="640" spans="1:5" x14ac:dyDescent="0.3">
      <c r="A640" s="8">
        <v>54</v>
      </c>
      <c r="B640" s="8">
        <v>10</v>
      </c>
      <c r="C640" s="8" t="s">
        <v>30</v>
      </c>
      <c r="D640" s="8" t="s">
        <v>4</v>
      </c>
      <c r="E640" s="9">
        <f>3.72+2.38-0.086-0.017-0.67-0.242-0.49-0.245</f>
        <v>4.3499999999999988</v>
      </c>
    </row>
    <row r="641" spans="1:5" x14ac:dyDescent="0.3">
      <c r="A641" s="10">
        <v>54</v>
      </c>
      <c r="B641" s="10">
        <v>12</v>
      </c>
      <c r="C641" s="10">
        <v>20</v>
      </c>
      <c r="D641" s="10" t="s">
        <v>64</v>
      </c>
      <c r="E641" s="15">
        <f>5.758+0.125</f>
        <v>5.883</v>
      </c>
    </row>
    <row r="642" spans="1:5" x14ac:dyDescent="0.3">
      <c r="A642" s="10">
        <v>54</v>
      </c>
      <c r="B642" s="10">
        <v>12</v>
      </c>
      <c r="C642" s="10">
        <v>20</v>
      </c>
      <c r="D642" s="10" t="s">
        <v>4</v>
      </c>
      <c r="E642" s="15">
        <v>2.9</v>
      </c>
    </row>
    <row r="643" spans="1:5" x14ac:dyDescent="0.3">
      <c r="A643" s="10">
        <v>54</v>
      </c>
      <c r="B643" s="10">
        <v>12</v>
      </c>
      <c r="C643" s="10" t="s">
        <v>26</v>
      </c>
      <c r="D643" s="10" t="s">
        <v>64</v>
      </c>
      <c r="E643" s="15">
        <f>3.135-0.007-0.04-2.87-0.098-0.056</f>
        <v>6.3999999999999529E-2</v>
      </c>
    </row>
    <row r="644" spans="1:5" x14ac:dyDescent="0.3">
      <c r="A644" s="10">
        <v>54</v>
      </c>
      <c r="B644" s="10">
        <v>12</v>
      </c>
      <c r="C644" s="10" t="s">
        <v>26</v>
      </c>
      <c r="D644" s="10" t="s">
        <v>64</v>
      </c>
      <c r="E644" s="15">
        <f>2.87+0.098+5.555-0.234-0.106-0.122-0.098-7.65+0.056-0.04-0.008+6.424-0.021</f>
        <v>6.7240000000000002</v>
      </c>
    </row>
    <row r="645" spans="1:5" x14ac:dyDescent="0.3">
      <c r="A645" s="8">
        <v>54</v>
      </c>
      <c r="B645" s="8">
        <v>12</v>
      </c>
      <c r="C645" s="8">
        <v>45</v>
      </c>
      <c r="D645" s="8" t="s">
        <v>1</v>
      </c>
      <c r="E645" s="9">
        <v>5</v>
      </c>
    </row>
    <row r="646" spans="1:5" x14ac:dyDescent="0.3">
      <c r="A646" s="10">
        <v>54</v>
      </c>
      <c r="B646" s="10">
        <v>12</v>
      </c>
      <c r="C646" s="10" t="s">
        <v>30</v>
      </c>
      <c r="D646" s="10" t="s">
        <v>1</v>
      </c>
      <c r="E646" s="15">
        <f>6.284-0.25-0.25-1.995-0.342-0.084-0.325+0.079-0.002-0.71-0.082</f>
        <v>2.323</v>
      </c>
    </row>
    <row r="647" spans="1:5" x14ac:dyDescent="0.3">
      <c r="A647" s="10">
        <v>54</v>
      </c>
      <c r="B647" s="10">
        <v>14</v>
      </c>
      <c r="C647" s="10">
        <v>35</v>
      </c>
      <c r="D647" s="10" t="s">
        <v>1</v>
      </c>
      <c r="E647" s="15">
        <f>3.84-0.5-0.108-0.59-0.016-1.49-0.022-1.09+0.046+7.16-0.03-2.99-0.258-0.041-0.525-0.019-0.005-0.895</f>
        <v>2.4669999999999992</v>
      </c>
    </row>
    <row r="648" spans="1:5" x14ac:dyDescent="0.3">
      <c r="A648" s="8">
        <v>54</v>
      </c>
      <c r="B648" s="8">
        <v>14</v>
      </c>
      <c r="C648" s="8" t="s">
        <v>30</v>
      </c>
      <c r="D648" s="8" t="s">
        <v>1</v>
      </c>
      <c r="E648" s="9">
        <v>5</v>
      </c>
    </row>
    <row r="649" spans="1:5" x14ac:dyDescent="0.3">
      <c r="A649" s="10">
        <v>54</v>
      </c>
      <c r="B649" s="10">
        <v>16</v>
      </c>
      <c r="C649" s="10">
        <v>20</v>
      </c>
      <c r="D649" s="10" t="s">
        <v>64</v>
      </c>
      <c r="E649" s="15">
        <v>6.0190000000000001</v>
      </c>
    </row>
    <row r="650" spans="1:5" x14ac:dyDescent="0.3">
      <c r="A650" s="10">
        <v>54</v>
      </c>
      <c r="B650" s="10">
        <v>16</v>
      </c>
      <c r="C650" s="10" t="s">
        <v>26</v>
      </c>
      <c r="D650" s="10" t="s">
        <v>64</v>
      </c>
      <c r="E650" s="15">
        <v>5.6970000000000001</v>
      </c>
    </row>
    <row r="651" spans="1:5" x14ac:dyDescent="0.3">
      <c r="A651" s="10">
        <v>54</v>
      </c>
      <c r="B651" s="10">
        <v>16</v>
      </c>
      <c r="C651" s="10" t="s">
        <v>30</v>
      </c>
      <c r="D651" s="10" t="s">
        <v>1</v>
      </c>
      <c r="E651" s="15">
        <f>6.045-0.667-0.084-0.75+0.155</f>
        <v>4.6990000000000007</v>
      </c>
    </row>
    <row r="652" spans="1:5" x14ac:dyDescent="0.3">
      <c r="A652" s="10">
        <v>56</v>
      </c>
      <c r="B652" s="10">
        <v>3</v>
      </c>
      <c r="C652" s="10">
        <v>20</v>
      </c>
      <c r="D652" s="10" t="s">
        <v>4</v>
      </c>
      <c r="E652" s="15">
        <f>1.04-0.005-0.055-0.052-0.024-0.014-0.027-0.07-0.009-0.054-0.003-0.025-0.01-0.005-0.051-0.002</f>
        <v>0.63399999999999979</v>
      </c>
    </row>
    <row r="653" spans="1:5" x14ac:dyDescent="0.3">
      <c r="A653" s="10">
        <v>56</v>
      </c>
      <c r="B653" s="10">
        <v>3</v>
      </c>
      <c r="C653" s="10" t="s">
        <v>26</v>
      </c>
      <c r="D653" s="10" t="s">
        <v>4</v>
      </c>
      <c r="E653" s="15">
        <f>0.97-0.044-0.014-0.005-0.026-0.045</f>
        <v>0.83599999999999985</v>
      </c>
    </row>
    <row r="654" spans="1:5" x14ac:dyDescent="0.3">
      <c r="A654" s="10">
        <v>56</v>
      </c>
      <c r="B654" s="10">
        <v>5</v>
      </c>
      <c r="C654" s="10">
        <v>20</v>
      </c>
      <c r="D654" s="10" t="s">
        <v>64</v>
      </c>
      <c r="E654" s="15">
        <f>5.39+1.32-0.002</f>
        <v>6.7080000000000002</v>
      </c>
    </row>
    <row r="655" spans="1:5" x14ac:dyDescent="0.3">
      <c r="A655" s="10">
        <v>56</v>
      </c>
      <c r="B655" s="10">
        <v>5</v>
      </c>
      <c r="C655" s="10">
        <v>20</v>
      </c>
      <c r="D655" s="10" t="s">
        <v>4</v>
      </c>
      <c r="E655" s="15">
        <f>1.01-0.187-0.17-0.18-0.003-0.12-0.004-0.03-0.021-0.004</f>
        <v>0.29099999999999993</v>
      </c>
    </row>
    <row r="656" spans="1:5" x14ac:dyDescent="0.3">
      <c r="A656" s="10">
        <v>56</v>
      </c>
      <c r="B656" s="10">
        <v>5</v>
      </c>
      <c r="C656" s="10" t="s">
        <v>26</v>
      </c>
      <c r="D656" s="10" t="s">
        <v>64</v>
      </c>
      <c r="E656" s="15">
        <v>6.2</v>
      </c>
    </row>
    <row r="657" spans="1:5" x14ac:dyDescent="0.3">
      <c r="A657" s="10">
        <v>56</v>
      </c>
      <c r="B657" s="10">
        <v>5</v>
      </c>
      <c r="C657" s="10" t="s">
        <v>26</v>
      </c>
      <c r="D657" s="10" t="s">
        <v>4</v>
      </c>
      <c r="E657" s="15">
        <v>0.83</v>
      </c>
    </row>
    <row r="658" spans="1:5" x14ac:dyDescent="0.3">
      <c r="A658" s="10">
        <v>56</v>
      </c>
      <c r="B658" s="10">
        <v>5</v>
      </c>
      <c r="C658" s="10" t="s">
        <v>26</v>
      </c>
      <c r="D658" s="10" t="s">
        <v>4</v>
      </c>
      <c r="E658" s="15">
        <f>2.5-0.83</f>
        <v>1.67</v>
      </c>
    </row>
    <row r="659" spans="1:5" x14ac:dyDescent="0.3">
      <c r="A659" s="10">
        <v>56</v>
      </c>
      <c r="B659" s="10">
        <v>6</v>
      </c>
      <c r="C659" s="10">
        <v>20</v>
      </c>
      <c r="D659" s="10" t="s">
        <v>64</v>
      </c>
      <c r="E659" s="15">
        <f>2.905+0.846+1.985</f>
        <v>5.7359999999999998</v>
      </c>
    </row>
    <row r="660" spans="1:5" x14ac:dyDescent="0.3">
      <c r="A660" s="10">
        <v>56</v>
      </c>
      <c r="B660" s="10">
        <v>6</v>
      </c>
      <c r="C660" s="10" t="s">
        <v>26</v>
      </c>
      <c r="D660" s="10" t="s">
        <v>64</v>
      </c>
      <c r="E660" s="15">
        <f>3.115+2.378</f>
        <v>5.4930000000000003</v>
      </c>
    </row>
    <row r="661" spans="1:5" x14ac:dyDescent="0.3">
      <c r="A661" s="10">
        <v>56</v>
      </c>
      <c r="B661" s="10">
        <v>6</v>
      </c>
      <c r="C661" s="10" t="s">
        <v>36</v>
      </c>
      <c r="D661" s="10" t="s">
        <v>4</v>
      </c>
      <c r="E661" s="15">
        <f>2.15-0.98-0.09-0.033-0.024-0.005-1.13+0.17</f>
        <v>5.8000000000000135E-2</v>
      </c>
    </row>
    <row r="662" spans="1:5" x14ac:dyDescent="0.3">
      <c r="A662" s="10">
        <v>56</v>
      </c>
      <c r="B662" s="10">
        <v>6</v>
      </c>
      <c r="C662" s="10" t="s">
        <v>36</v>
      </c>
      <c r="D662" s="10" t="s">
        <v>4</v>
      </c>
      <c r="E662" s="15">
        <f>1.13-0.009-0.091-0.53-0.033-0.102</f>
        <v>0.36499999999999999</v>
      </c>
    </row>
    <row r="663" spans="1:5" x14ac:dyDescent="0.3">
      <c r="A663" s="10">
        <v>56</v>
      </c>
      <c r="B663" s="10">
        <v>7</v>
      </c>
      <c r="C663" s="10">
        <v>20</v>
      </c>
      <c r="D663" s="10" t="s">
        <v>4</v>
      </c>
      <c r="E663" s="15">
        <f>0.36-0.006+0.71-0.01-0.054-0.04-0.108-0.03-0.054-0.054-0.054-0.56-0.025-0.006</f>
        <v>6.8999999999999756E-2</v>
      </c>
    </row>
    <row r="664" spans="1:5" x14ac:dyDescent="0.3">
      <c r="A664" s="10">
        <v>56</v>
      </c>
      <c r="B664" s="10">
        <v>7</v>
      </c>
      <c r="C664" s="10" t="s">
        <v>26</v>
      </c>
      <c r="D664" s="10" t="s">
        <v>4</v>
      </c>
      <c r="E664" s="15">
        <f>0.99-0.037-0.014-0.056-0.058-0.054-0.011</f>
        <v>0.75999999999999979</v>
      </c>
    </row>
    <row r="665" spans="1:5" x14ac:dyDescent="0.3">
      <c r="A665" s="10">
        <v>56</v>
      </c>
      <c r="B665" s="10">
        <v>8</v>
      </c>
      <c r="C665" s="10">
        <v>20</v>
      </c>
      <c r="D665" s="10" t="s">
        <v>64</v>
      </c>
      <c r="E665" s="15">
        <v>6.2130000000000001</v>
      </c>
    </row>
    <row r="666" spans="1:5" x14ac:dyDescent="0.3">
      <c r="A666" s="10">
        <v>56</v>
      </c>
      <c r="B666" s="10">
        <v>8</v>
      </c>
      <c r="C666" s="10" t="s">
        <v>26</v>
      </c>
      <c r="D666" s="10" t="s">
        <v>64</v>
      </c>
      <c r="E666" s="15">
        <f>5.125-0.021</f>
        <v>5.1040000000000001</v>
      </c>
    </row>
    <row r="667" spans="1:5" x14ac:dyDescent="0.3">
      <c r="A667" s="10">
        <v>56</v>
      </c>
      <c r="B667" s="10">
        <v>8</v>
      </c>
      <c r="C667" s="10" t="s">
        <v>26</v>
      </c>
      <c r="D667" s="10" t="s">
        <v>4</v>
      </c>
      <c r="E667" s="15">
        <v>1.08</v>
      </c>
    </row>
    <row r="668" spans="1:5" x14ac:dyDescent="0.3">
      <c r="A668" s="10">
        <v>56</v>
      </c>
      <c r="B668" s="10">
        <v>8</v>
      </c>
      <c r="C668" s="10">
        <v>45</v>
      </c>
      <c r="D668" s="10" t="s">
        <v>4</v>
      </c>
      <c r="E668" s="15">
        <f>1.662+0.084-0.04-0.013-0.007-0.006-0.486-0.2-0.092-0.102-0.102-0.011-0.098-0.49</f>
        <v>9.900000000000031E-2</v>
      </c>
    </row>
    <row r="669" spans="1:5" x14ac:dyDescent="0.3">
      <c r="A669" s="10">
        <v>56</v>
      </c>
      <c r="B669" s="10">
        <v>8</v>
      </c>
      <c r="C669" s="10">
        <v>45</v>
      </c>
      <c r="D669" s="10" t="s">
        <v>4</v>
      </c>
      <c r="E669" s="15">
        <f>0.49-0.101-0.011-0.059-0.02-0.03-0.063-0.059-0.012-0.02-0.101</f>
        <v>1.3999999999999999E-2</v>
      </c>
    </row>
    <row r="670" spans="1:5" x14ac:dyDescent="0.3">
      <c r="A670" s="10">
        <v>56</v>
      </c>
      <c r="B670" s="10">
        <v>8</v>
      </c>
      <c r="C670" s="10" t="s">
        <v>30</v>
      </c>
      <c r="D670" s="10" t="s">
        <v>1</v>
      </c>
      <c r="E670" s="15">
        <f>2.94-0.19-2.06-0.031-0.655+0.062-0.011-0.019-0.013</f>
        <v>2.2999999999999896E-2</v>
      </c>
    </row>
    <row r="671" spans="1:5" x14ac:dyDescent="0.3">
      <c r="A671" s="8">
        <v>56</v>
      </c>
      <c r="B671" s="8">
        <v>8</v>
      </c>
      <c r="C671" s="8" t="s">
        <v>30</v>
      </c>
      <c r="D671" s="8" t="s">
        <v>1</v>
      </c>
      <c r="E671" s="9">
        <f>5.857-0.073-0.146-0.072</f>
        <v>5.5659999999999998</v>
      </c>
    </row>
    <row r="672" spans="1:5" x14ac:dyDescent="0.3">
      <c r="A672" s="10">
        <v>56</v>
      </c>
      <c r="B672" s="10">
        <v>8</v>
      </c>
      <c r="C672" s="10" t="s">
        <v>30</v>
      </c>
      <c r="D672" s="10" t="s">
        <v>64</v>
      </c>
      <c r="E672" s="15">
        <f>5.388-0.106-0.323</f>
        <v>4.9589999999999996</v>
      </c>
    </row>
    <row r="673" spans="1:5" x14ac:dyDescent="0.3">
      <c r="A673" s="8">
        <v>56</v>
      </c>
      <c r="B673" s="8">
        <v>10</v>
      </c>
      <c r="C673" s="8">
        <v>20</v>
      </c>
      <c r="D673" s="8" t="s">
        <v>1</v>
      </c>
      <c r="E673" s="9">
        <v>5</v>
      </c>
    </row>
    <row r="674" spans="1:5" x14ac:dyDescent="0.3">
      <c r="A674" s="10">
        <v>56</v>
      </c>
      <c r="B674" s="10">
        <v>10</v>
      </c>
      <c r="C674" s="10">
        <v>20</v>
      </c>
      <c r="D674" s="10" t="s">
        <v>64</v>
      </c>
      <c r="E674" s="15">
        <f>5.994-2.54-2.23-0.044-0.48</f>
        <v>0.69999999999999973</v>
      </c>
    </row>
    <row r="675" spans="1:5" x14ac:dyDescent="0.3">
      <c r="A675" s="10">
        <v>56</v>
      </c>
      <c r="B675" s="10">
        <v>10</v>
      </c>
      <c r="C675" s="10">
        <v>20</v>
      </c>
      <c r="D675" s="10" t="s">
        <v>4</v>
      </c>
      <c r="E675" s="15">
        <f>2.98-0.98-0.077-0.082-0.025-0.082-0.017-0.012-0.341-0.155-0.037</f>
        <v>1.1720000000000002</v>
      </c>
    </row>
    <row r="676" spans="1:5" x14ac:dyDescent="0.3">
      <c r="A676" s="10">
        <v>56</v>
      </c>
      <c r="B676" s="10">
        <v>10</v>
      </c>
      <c r="C676" s="10" t="s">
        <v>26</v>
      </c>
      <c r="D676" s="10" t="s">
        <v>64</v>
      </c>
      <c r="E676" s="15">
        <f>5.998-0.037</f>
        <v>5.9610000000000003</v>
      </c>
    </row>
    <row r="677" spans="1:5" x14ac:dyDescent="0.3">
      <c r="A677" s="10">
        <v>56</v>
      </c>
      <c r="B677" s="10">
        <v>10</v>
      </c>
      <c r="C677" s="10" t="s">
        <v>26</v>
      </c>
      <c r="D677" s="10" t="s">
        <v>4</v>
      </c>
      <c r="E677" s="15">
        <v>2.9</v>
      </c>
    </row>
    <row r="678" spans="1:5" x14ac:dyDescent="0.3">
      <c r="A678" s="10">
        <v>56</v>
      </c>
      <c r="B678" s="10">
        <v>10</v>
      </c>
      <c r="C678" s="10">
        <v>45</v>
      </c>
      <c r="D678" s="10" t="s">
        <v>4</v>
      </c>
      <c r="E678" s="15">
        <f>2.69-0.083-0.151-0.082-0.15</f>
        <v>2.2240000000000002</v>
      </c>
    </row>
    <row r="679" spans="1:5" x14ac:dyDescent="0.3">
      <c r="A679" s="10">
        <v>56</v>
      </c>
      <c r="B679" s="10">
        <v>10</v>
      </c>
      <c r="C679" s="10" t="s">
        <v>28</v>
      </c>
      <c r="D679" s="10" t="s">
        <v>4</v>
      </c>
      <c r="E679" s="15">
        <f>3+0.48-0.041-0.386-0.19-0.67-0.06</f>
        <v>2.133</v>
      </c>
    </row>
    <row r="680" spans="1:5" x14ac:dyDescent="0.3">
      <c r="A680" s="10">
        <v>56</v>
      </c>
      <c r="B680" s="10">
        <v>10</v>
      </c>
      <c r="C680" s="10" t="s">
        <v>30</v>
      </c>
      <c r="D680" s="10" t="s">
        <v>4</v>
      </c>
      <c r="E680" s="15">
        <f>2.45-0.286-0.182-0.284-0.068-0.14</f>
        <v>1.4900000000000002</v>
      </c>
    </row>
    <row r="681" spans="1:5" x14ac:dyDescent="0.3">
      <c r="A681" s="10">
        <v>56</v>
      </c>
      <c r="B681" s="10">
        <v>11</v>
      </c>
      <c r="C681" s="10">
        <v>35</v>
      </c>
      <c r="D681" s="10" t="s">
        <v>1</v>
      </c>
      <c r="E681" s="15">
        <f>0.785+3.692-0.119-0.058-0.119-0.067-0.038-0.085-0.119-0.247-0.123-0.356-0.039-0.033-0.246</f>
        <v>2.8280000000000007</v>
      </c>
    </row>
    <row r="682" spans="1:5" x14ac:dyDescent="0.3">
      <c r="A682" s="10">
        <v>56</v>
      </c>
      <c r="B682" s="10">
        <v>12</v>
      </c>
      <c r="C682" s="10">
        <v>20</v>
      </c>
      <c r="D682" s="10" t="s">
        <v>64</v>
      </c>
      <c r="E682" s="15">
        <f>5.02+1.034</f>
        <v>6.0539999999999994</v>
      </c>
    </row>
    <row r="683" spans="1:5" x14ac:dyDescent="0.3">
      <c r="A683" s="10">
        <v>56</v>
      </c>
      <c r="B683" s="10">
        <v>12</v>
      </c>
      <c r="C683" s="10" t="s">
        <v>26</v>
      </c>
      <c r="D683" s="10" t="s">
        <v>64</v>
      </c>
      <c r="E683" s="15">
        <f>5.937+0.235</f>
        <v>6.1720000000000006</v>
      </c>
    </row>
    <row r="684" spans="1:5" x14ac:dyDescent="0.3">
      <c r="A684" s="10">
        <v>56</v>
      </c>
      <c r="B684" s="10">
        <v>12</v>
      </c>
      <c r="C684" s="10">
        <v>45</v>
      </c>
      <c r="D684" s="10" t="s">
        <v>4</v>
      </c>
      <c r="E684" s="15">
        <f>4.19-0.028-0.023-0.015-0.162-0.056-0.078-0.162-0.027-0.081-3.61+0.18</f>
        <v>0.12800000000000172</v>
      </c>
    </row>
    <row r="685" spans="1:5" x14ac:dyDescent="0.3">
      <c r="A685" s="10">
        <v>56</v>
      </c>
      <c r="B685" s="10">
        <v>12</v>
      </c>
      <c r="C685" s="10">
        <v>45</v>
      </c>
      <c r="D685" s="10" t="s">
        <v>1</v>
      </c>
      <c r="E685" s="15">
        <v>6.0739999999999998</v>
      </c>
    </row>
    <row r="686" spans="1:5" x14ac:dyDescent="0.3">
      <c r="A686" s="10">
        <v>56</v>
      </c>
      <c r="B686" s="10">
        <v>12</v>
      </c>
      <c r="C686" s="10">
        <v>45</v>
      </c>
      <c r="D686" s="10" t="s">
        <v>4</v>
      </c>
      <c r="E686" s="15">
        <f>3.61-0.157-0.386-0.59-0.156-0.154-0.233-0.146-0.042</f>
        <v>1.7459999999999998</v>
      </c>
    </row>
    <row r="687" spans="1:5" x14ac:dyDescent="0.3">
      <c r="A687" s="10">
        <v>56</v>
      </c>
      <c r="B687" s="10">
        <v>12</v>
      </c>
      <c r="C687" s="10" t="s">
        <v>30</v>
      </c>
      <c r="D687" s="10" t="s">
        <v>1</v>
      </c>
      <c r="E687" s="15">
        <f>5.345+0.676</f>
        <v>6.0209999999999999</v>
      </c>
    </row>
    <row r="688" spans="1:5" x14ac:dyDescent="0.3">
      <c r="A688" s="10">
        <v>56</v>
      </c>
      <c r="B688" s="10">
        <v>13</v>
      </c>
      <c r="C688" s="10">
        <v>45</v>
      </c>
      <c r="D688" s="10" t="s">
        <v>1</v>
      </c>
      <c r="E688" s="15">
        <f>3.195-0.112-2.91-0.11+0.047</f>
        <v>0.1099999999999996</v>
      </c>
    </row>
    <row r="689" spans="1:5" x14ac:dyDescent="0.3">
      <c r="A689" s="10">
        <v>56</v>
      </c>
      <c r="B689" s="10">
        <v>14</v>
      </c>
      <c r="C689" s="10">
        <v>20</v>
      </c>
      <c r="D689" s="10" t="s">
        <v>64</v>
      </c>
      <c r="E689" s="15">
        <v>5.6719999999999997</v>
      </c>
    </row>
    <row r="690" spans="1:5" x14ac:dyDescent="0.3">
      <c r="A690" s="10">
        <v>56</v>
      </c>
      <c r="B690" s="10">
        <v>14</v>
      </c>
      <c r="C690" s="10" t="s">
        <v>26</v>
      </c>
      <c r="D690" s="10" t="s">
        <v>64</v>
      </c>
      <c r="E690" s="15">
        <v>5.6840000000000002</v>
      </c>
    </row>
    <row r="691" spans="1:5" x14ac:dyDescent="0.3">
      <c r="A691" s="10">
        <v>56</v>
      </c>
      <c r="B691" s="10">
        <v>14</v>
      </c>
      <c r="C691" s="10">
        <v>45</v>
      </c>
      <c r="D691" s="10" t="s">
        <v>1</v>
      </c>
      <c r="E691" s="15">
        <v>6.0410000000000004</v>
      </c>
    </row>
    <row r="692" spans="1:5" x14ac:dyDescent="0.3">
      <c r="A692" s="10">
        <v>56</v>
      </c>
      <c r="B692" s="10">
        <v>14</v>
      </c>
      <c r="C692" s="10" t="s">
        <v>30</v>
      </c>
      <c r="D692" s="10" t="s">
        <v>1</v>
      </c>
      <c r="E692" s="15">
        <v>5.9450000000000003</v>
      </c>
    </row>
    <row r="693" spans="1:5" x14ac:dyDescent="0.3">
      <c r="A693" s="10">
        <v>56</v>
      </c>
      <c r="B693" s="10">
        <v>16</v>
      </c>
      <c r="C693" s="10">
        <v>20</v>
      </c>
      <c r="D693" s="10" t="s">
        <v>64</v>
      </c>
      <c r="E693" s="15">
        <f>5.403+0.631</f>
        <v>6.0339999999999998</v>
      </c>
    </row>
    <row r="694" spans="1:5" x14ac:dyDescent="0.3">
      <c r="A694" s="10">
        <v>56</v>
      </c>
      <c r="B694" s="10">
        <v>16</v>
      </c>
      <c r="C694" s="10" t="s">
        <v>26</v>
      </c>
      <c r="D694" s="10" t="s">
        <v>64</v>
      </c>
      <c r="E694" s="15">
        <v>5.8239999999999998</v>
      </c>
    </row>
    <row r="695" spans="1:5" x14ac:dyDescent="0.3">
      <c r="A695" s="10">
        <v>56</v>
      </c>
      <c r="B695" s="10">
        <v>16</v>
      </c>
      <c r="C695" s="10" t="s">
        <v>26</v>
      </c>
      <c r="D695" s="10" t="s">
        <v>64</v>
      </c>
      <c r="E695" s="15">
        <v>0.42499999999999999</v>
      </c>
    </row>
    <row r="696" spans="1:5" x14ac:dyDescent="0.3">
      <c r="A696" s="10">
        <v>56</v>
      </c>
      <c r="B696" s="10">
        <v>16</v>
      </c>
      <c r="C696" s="10">
        <v>45</v>
      </c>
      <c r="D696" s="10" t="s">
        <v>1</v>
      </c>
      <c r="E696" s="15">
        <f>3.16+2.872</f>
        <v>6.032</v>
      </c>
    </row>
    <row r="697" spans="1:5" x14ac:dyDescent="0.3">
      <c r="A697" s="10">
        <v>56</v>
      </c>
      <c r="B697" s="10">
        <v>16</v>
      </c>
      <c r="C697" s="10" t="s">
        <v>30</v>
      </c>
      <c r="D697" s="10" t="s">
        <v>1</v>
      </c>
      <c r="E697" s="15">
        <v>6.0140000000000002</v>
      </c>
    </row>
    <row r="698" spans="1:5" x14ac:dyDescent="0.3">
      <c r="A698" s="10">
        <v>57</v>
      </c>
      <c r="B698" s="10">
        <v>3</v>
      </c>
      <c r="C698" s="10">
        <v>20</v>
      </c>
      <c r="D698" s="10" t="s">
        <v>4</v>
      </c>
      <c r="E698" s="15">
        <f>1.2-0.002-0.003-0.002-0.002-0.025+3.343-0.005-0.006-0.02-0.028-0.004-0.014-0.003-0.028-0.005-0.007-0.015-0.015-0.005-0.028-0.005-0.002-0.028-0.052-0.024-0.01-0.002-0.006-0.003-0.053-0.006-0.001-0.006-0.014-0.005-0.003-0.005-0.028-0.003-0.002-0.005-0.002-0.006-0.028-0.005-0.006</f>
        <v>4.0160000000000045</v>
      </c>
    </row>
    <row r="699" spans="1:5" x14ac:dyDescent="0.3">
      <c r="A699" s="10">
        <v>57</v>
      </c>
      <c r="B699" s="10">
        <v>4</v>
      </c>
      <c r="C699" s="10" t="s">
        <v>26</v>
      </c>
      <c r="D699" s="10" t="s">
        <v>64</v>
      </c>
      <c r="E699" s="15">
        <f>6.875-0.008-0.007-0.036-0.007-0.007-0.008-0.004-0.002-0.007-0.315-0.013-0.063-0.006+1.525-0.127-0.018-0.018-0.007-0.015-0.123-0.021-0.064-0.011-0.013-0.003-0.004-0.012-0.004-0.018-0.006-0.036-0.007-0.013-0.64-0.005-0.054-0.013-0.012-0.035-0.007-0.005-0.009-0.007-0.005-0.002-0.006-0.063-0.012-0.005-0.005-0.002-0.005-0.015-0.002-0.018-0.01-0.064-0.111-0.004-0.012-0.03-0.018-0.623-0.042-0.003-0.034-0.007-0.054-0.053-0.007-0.006-0.004-0.012-0.064-0.064-0.005-0.126-0.126-0.007-0.012-0.003-0.008-0.006-0.019</f>
        <v>4.9360000000000097</v>
      </c>
    </row>
    <row r="700" spans="1:5" x14ac:dyDescent="0.3">
      <c r="A700" s="10">
        <v>57</v>
      </c>
      <c r="B700" s="10">
        <v>4</v>
      </c>
      <c r="C700" s="10" t="s">
        <v>26</v>
      </c>
      <c r="D700" s="10" t="s">
        <v>2</v>
      </c>
      <c r="E700" s="15">
        <f>6.234-0.035-0.026-0.231-0.023-0.013-0.025</f>
        <v>5.8810000000000002</v>
      </c>
    </row>
    <row r="701" spans="1:5" x14ac:dyDescent="0.3">
      <c r="A701" s="10">
        <v>57</v>
      </c>
      <c r="B701" s="10">
        <v>4.5</v>
      </c>
      <c r="C701" s="10">
        <v>45</v>
      </c>
      <c r="D701" s="10" t="s">
        <v>1</v>
      </c>
      <c r="E701" s="15">
        <f>4.014-0.33-0.011-0.14-0.195-0.5-0.014-0.017-0.305-0.008-0.04-0.013-0.013-0.014</f>
        <v>2.4140000000000006</v>
      </c>
    </row>
    <row r="702" spans="1:5" x14ac:dyDescent="0.3">
      <c r="A702" s="8">
        <v>57</v>
      </c>
      <c r="B702" s="8">
        <v>5</v>
      </c>
      <c r="C702" s="8">
        <v>20</v>
      </c>
      <c r="D702" s="8" t="s">
        <v>1</v>
      </c>
      <c r="E702" s="9">
        <f>0.46-0.014-0.067+0.341-0.262+0.002-0.012-0.043-0.002-0.142-0.005-0.063-0.008-0.003+0.13-0.066-0.008-0.111-0.016-0.004-0.007-0.008-0.004-0.018-0.014-0.008-0.002-0.008-0.009-0.003-0.005-0.008-0.003-0.018+0.012-0.003</f>
        <v>9.9999999999999308E-4</v>
      </c>
    </row>
    <row r="703" spans="1:5" x14ac:dyDescent="0.3">
      <c r="A703" s="8">
        <v>57</v>
      </c>
      <c r="B703" s="8">
        <v>5</v>
      </c>
      <c r="C703" s="8">
        <v>20</v>
      </c>
      <c r="D703" s="8" t="s">
        <v>1</v>
      </c>
      <c r="E703" s="9">
        <v>3</v>
      </c>
    </row>
    <row r="704" spans="1:5" x14ac:dyDescent="0.3">
      <c r="A704" s="10">
        <v>57</v>
      </c>
      <c r="B704" s="10">
        <v>5</v>
      </c>
      <c r="C704" s="10" t="s">
        <v>26</v>
      </c>
      <c r="D704" s="10" t="s">
        <v>1</v>
      </c>
      <c r="E704" s="15">
        <f>0.3+0.005+0.014-0.036-0.006-0.072-0.011-0.039-0.029-0.008-0.003-0.077-0.008-0.015-0.008-0.006+0.008+2.175-0.207-1.148-0.064-0.069-0.042-0.073-0.072-0.231-0.011-0.138-0.022-0.009+0.128-0.011-0.022-0.025-0.016-0.005-0.004-0.008-0.003-0.015-0.03-0.022-0.003-0.005</f>
        <v>5.699999999999978E-2</v>
      </c>
    </row>
    <row r="705" spans="1:5" x14ac:dyDescent="0.3">
      <c r="A705" s="10">
        <v>57</v>
      </c>
      <c r="B705" s="10">
        <v>5</v>
      </c>
      <c r="C705" s="10" t="s">
        <v>26</v>
      </c>
      <c r="D705" s="10" t="s">
        <v>64</v>
      </c>
      <c r="E705" s="15">
        <f>5.495-0.015-0.004-0.003-0.002-0.019-0.078-0.043-0.002-0.155-0.032-0.01-0.019-0.004-0.003-0.009-0.007-0.028-0.28-0.004-0.03-0.011-0.008-0.07-0.011-0.029-0.076-0.004-0.078-0.078-0.034-0.012-0.027-0.008-0.01-0.079-0.078-0.013-0.008-0.013-0.005-0.015-0.004-0.036-0.012-0.008-0.015-0.013-0.078-0.013</f>
        <v>3.9020000000000041</v>
      </c>
    </row>
    <row r="706" spans="1:5" x14ac:dyDescent="0.3">
      <c r="A706" s="8">
        <v>57</v>
      </c>
      <c r="B706" s="8">
        <v>5</v>
      </c>
      <c r="C706" s="8">
        <v>45</v>
      </c>
      <c r="D706" s="8" t="s">
        <v>1</v>
      </c>
      <c r="E706" s="9">
        <f>0.98-0.008</f>
        <v>0.97199999999999998</v>
      </c>
    </row>
    <row r="707" spans="1:5" x14ac:dyDescent="0.3">
      <c r="A707" s="10">
        <v>57</v>
      </c>
      <c r="B707" s="10">
        <v>5</v>
      </c>
      <c r="C707" s="10" t="s">
        <v>37</v>
      </c>
      <c r="D707" s="10" t="s">
        <v>143</v>
      </c>
      <c r="E707" s="15">
        <f>0.981-0.009-0.014-0.015-0.008-0.005-0.018-0.029-0.07-0.008-0.205-0.015-0.008-0.005-0.022</f>
        <v>0.54999999999999993</v>
      </c>
    </row>
    <row r="708" spans="1:5" x14ac:dyDescent="0.3">
      <c r="A708" s="10">
        <v>57</v>
      </c>
      <c r="B708" s="10">
        <v>5.5</v>
      </c>
      <c r="C708" s="10">
        <v>45</v>
      </c>
      <c r="D708" s="10" t="s">
        <v>4</v>
      </c>
      <c r="E708" s="15">
        <f>2.872-0.074-0.017-0.016-0.037-0.006-0.073-0.015-0.093-0.037-0.037-2.47+0.041-0.008-0.005</f>
        <v>2.5000000000000331E-2</v>
      </c>
    </row>
    <row r="709" spans="1:5" x14ac:dyDescent="0.3">
      <c r="A709" s="10">
        <v>57</v>
      </c>
      <c r="B709" s="10">
        <v>5.5</v>
      </c>
      <c r="C709" s="10">
        <v>45</v>
      </c>
      <c r="D709" s="10" t="s">
        <v>4</v>
      </c>
      <c r="E709" s="15">
        <f>3.22-0.268-1.344-0.09-0.017-0.005-0.092-0.016-0.018-0.018-0.012-0.146</f>
        <v>1.194</v>
      </c>
    </row>
    <row r="710" spans="1:5" x14ac:dyDescent="0.3">
      <c r="A710" s="10">
        <v>57</v>
      </c>
      <c r="B710" s="10">
        <v>6</v>
      </c>
      <c r="C710" s="10">
        <v>20</v>
      </c>
      <c r="D710" s="10" t="s">
        <v>1</v>
      </c>
      <c r="E710" s="15">
        <f>4.825-0.009-0.07-0.006-0.009-0.025-0.022-0.009-0.005-0.017-0.064-0.025+0.271-0.014-0.016-0.049-0.032-0.013-0.011-0.025-0.048-0.003-0.215-0.141-2-0.005-0.017-0.068-0.017-0.002-0.078-0.077-0.007-0.281-0.058-0.142-0.009-0.018-0.017-0.012-0.15-0.015-0.03-0.005-0.01-0.65-0.079-0.006-0.44-0.009-0.022-0.016-0.004-0.073+0.108</f>
        <v>5.8999999999997582E-2</v>
      </c>
    </row>
    <row r="711" spans="1:5" x14ac:dyDescent="0.3">
      <c r="A711" s="8">
        <v>57</v>
      </c>
      <c r="B711" s="8">
        <v>6</v>
      </c>
      <c r="C711" s="8">
        <v>20</v>
      </c>
      <c r="D711" s="8" t="s">
        <v>1</v>
      </c>
      <c r="E711" s="9">
        <v>5</v>
      </c>
    </row>
    <row r="712" spans="1:5" x14ac:dyDescent="0.3">
      <c r="A712" s="10">
        <v>57</v>
      </c>
      <c r="B712" s="10">
        <v>6</v>
      </c>
      <c r="C712" s="10" t="s">
        <v>26</v>
      </c>
      <c r="D712" s="10" t="s">
        <v>1</v>
      </c>
      <c r="E712" s="15">
        <f>4.842-0.009-0.309-0.035-0.018-0.013-0.01-0.078-0.009-0.009-0.012-0.235-0.074-0.077-0.004-0.007-0.018-0.046-0.034-0.078-0.013-0.463-0.013-0.009-0.157-0.078-0.155-0.022-0.015-0.009-0.009-0.57-0.026-0.008-0.078-0.045-0.026-0.003-0.07-0.011-0.018-0.026-0.007-0.009-0.078-0.22-0.018-0.034-0.026-0.078-0.017-0.077-0.026-1.53+0.41-0.005-0.009-0.029-0.011-0.026-0.009-0.024-0.014-0.026-0.002+0.251-0.005-0.003-0.01-0.052-0.013-0.076-0.007-0.022-0.059-0.012-0.018-0.002-0.003</f>
        <v>4.7000000000000985E-2</v>
      </c>
    </row>
    <row r="713" spans="1:5" x14ac:dyDescent="0.3">
      <c r="A713" s="8">
        <v>57</v>
      </c>
      <c r="B713" s="8">
        <v>6</v>
      </c>
      <c r="C713" s="8" t="s">
        <v>26</v>
      </c>
      <c r="D713" s="8" t="s">
        <v>64</v>
      </c>
      <c r="E713" s="9">
        <v>5</v>
      </c>
    </row>
    <row r="714" spans="1:5" x14ac:dyDescent="0.3">
      <c r="A714" s="8">
        <v>57</v>
      </c>
      <c r="B714" s="8">
        <v>7</v>
      </c>
      <c r="C714" s="8" t="s">
        <v>26</v>
      </c>
      <c r="D714" s="8" t="s">
        <v>1</v>
      </c>
      <c r="E714" s="9">
        <f>3.105-0.004-0.015-0.01-0.003-0.011-0.003-0.138-0.02-0.091-0.014-0.186-0.028-0.093-0.019-0.092-0.009-0.019-0.006-0.002-0.092-0.005-0.091-0.01-0.008-0.028-0.092-0.11-0.092-0.015-0.092-0.007-0.094-0.028-0.015-0.028-0.042-0.042-0.023-0.019</f>
        <v>1.409</v>
      </c>
    </row>
    <row r="715" spans="1:5" x14ac:dyDescent="0.3">
      <c r="A715" s="8">
        <v>57</v>
      </c>
      <c r="B715" s="8">
        <v>7</v>
      </c>
      <c r="C715" s="13" t="s">
        <v>30</v>
      </c>
      <c r="D715" s="8" t="s">
        <v>4</v>
      </c>
      <c r="E715" s="9">
        <f>4.815-0.077-0.019-0.019-0.019-0.012-0.03-0.019-0.039-0.019-0.03-0.182-0.014</f>
        <v>4.3359999999999994</v>
      </c>
    </row>
    <row r="716" spans="1:5" x14ac:dyDescent="0.3">
      <c r="A716" s="10">
        <v>57</v>
      </c>
      <c r="B716" s="10">
        <v>8</v>
      </c>
      <c r="C716" s="10">
        <v>20</v>
      </c>
      <c r="D716" s="10" t="s">
        <v>1</v>
      </c>
      <c r="E716" s="15">
        <f>1.367+1.715-0.12-0.005-0.062-0.006-0.003</f>
        <v>2.8860000000000001</v>
      </c>
    </row>
    <row r="717" spans="1:5" x14ac:dyDescent="0.3">
      <c r="A717" s="8">
        <v>57</v>
      </c>
      <c r="B717" s="8">
        <v>8</v>
      </c>
      <c r="C717" s="8">
        <v>20</v>
      </c>
      <c r="D717" s="8" t="s">
        <v>1</v>
      </c>
      <c r="E717" s="9">
        <v>5</v>
      </c>
    </row>
    <row r="718" spans="1:5" x14ac:dyDescent="0.3">
      <c r="A718" s="10">
        <v>57</v>
      </c>
      <c r="B718" s="10">
        <v>8</v>
      </c>
      <c r="C718" s="10" t="s">
        <v>26</v>
      </c>
      <c r="D718" s="10" t="s">
        <v>1</v>
      </c>
      <c r="E718" s="15">
        <f>4.98-0.107-0.017-0.027-0.042-0.006-0.021-0.107-0.011-0.006-0.003-0.106-0.062-0.042-0.062-0.017-0.023-0.003-0.012-0.011-0.011-0.011-0.042-0.007-0.106-0.031-0.016-0.007-0.022-0.024-0.011-0.011-0.021-0.041-0.004-0.016-0.032-0.011-0.011-0.104-0.008-0.16-0.026-0.006-0.016-0.218-0.005-0.006-0.048-0.024-0.084-0.006-0.011-0.016-0.04-0.037-0.011-0.005-0.032-0.011-0.01-0.006-0.011-0.031-0.011-0.033-0.213-0.012-0.106-0.016-0.136-0.107-0.004-0.003-0.111-0.106-0.011-0.011-0.069-0.021-0.024-0.008-0.035-0.035-0.031-0.106-0.024-0.316-0.022-0.017-0.113-0.011-0.007-0.007-0.011-0.106-0.057-0.015-0.105-0.106-0.032-0.107-0.021-0.031-0.011-0.042-0.065-0.021-0.005-0.016-0.032+1.85-0.011+3.14-0.004-0.106-0.011-0.004-0.006-0.014-0.59-0.01-0.092-0.021-0.007-0.043-0.007-0.122-0.012-0.006-0.006-0.006</f>
        <v>4.3310000000000013</v>
      </c>
    </row>
    <row r="719" spans="1:5" x14ac:dyDescent="0.3">
      <c r="A719" s="8">
        <v>57</v>
      </c>
      <c r="B719" s="8">
        <v>8</v>
      </c>
      <c r="C719" s="8" t="s">
        <v>37</v>
      </c>
      <c r="D719" s="8" t="s">
        <v>1</v>
      </c>
      <c r="E719" s="9">
        <f>4.67-0.051-0.005-0.016-0.047-0.102-0.015-1.85-0.019-0.008-0.024-0.016</f>
        <v>2.5169999999999999</v>
      </c>
    </row>
    <row r="720" spans="1:5" x14ac:dyDescent="0.3">
      <c r="A720" s="10">
        <v>57</v>
      </c>
      <c r="B720" s="10">
        <v>8</v>
      </c>
      <c r="C720" s="10" t="s">
        <v>29</v>
      </c>
      <c r="D720" s="10" t="s">
        <v>3</v>
      </c>
      <c r="E720" s="15">
        <f>1.89+0.062+0.027-0.062-0.004-0.016-0.009-0.073-0.036-0.034-0.041-0.011+0.007-0.066-0.14-0.07-0.069-0.019-0.033-0.07-0.006-0.021-0.005-0.18</f>
        <v>1.0210000000000001</v>
      </c>
    </row>
    <row r="721" spans="1:5" x14ac:dyDescent="0.3">
      <c r="A721" s="8">
        <v>57</v>
      </c>
      <c r="B721" s="8">
        <v>10</v>
      </c>
      <c r="C721" s="8">
        <v>20</v>
      </c>
      <c r="D721" s="8" t="s">
        <v>1</v>
      </c>
      <c r="E721" s="9">
        <f>5.03-0.013-0.044-0.01-0.006-0.017-0.04</f>
        <v>4.9000000000000004</v>
      </c>
    </row>
    <row r="722" spans="1:5" x14ac:dyDescent="0.3">
      <c r="A722" s="10">
        <v>57</v>
      </c>
      <c r="B722" s="10">
        <v>10</v>
      </c>
      <c r="C722" s="10" t="s">
        <v>26</v>
      </c>
      <c r="D722" s="10" t="s">
        <v>1</v>
      </c>
      <c r="E722" s="15">
        <f>5.28-0.005-0.025-0.074-0.013-0.013-0.013-0.013-0.025-0.83-0.128-0.013-0.13-0.037-0.025-0.05-0.004-0.013-0.12-0.013-0.128-0.009-0.131-0.025-0.038-0.128-0.025-0.025-0.24-0.018-0.013-0.26-0.052-0.074-0.032-0.004-0.026-0.003-0.038-0.258-0.007-0.014-0.009-0.038-0.24-0.13-0.02-0.013-0.051-0.129-0.127-0.074-0.013-0.063-0.025-0.015-0.004-0.013-0.038-0.025-0.013-0.133-0.062-0.041-0.007-0.004-0.046-0.007-0.019-0.013-0.009-0.128</f>
        <v>0.6790000000000026</v>
      </c>
    </row>
    <row r="723" spans="1:5" x14ac:dyDescent="0.3">
      <c r="A723" s="10">
        <v>57</v>
      </c>
      <c r="B723" s="10">
        <v>10</v>
      </c>
      <c r="C723" s="10" t="s">
        <v>30</v>
      </c>
      <c r="D723" s="10" t="s">
        <v>1</v>
      </c>
      <c r="E723" s="15">
        <f>11.785-0.019-0.091-2.6-0.011-0.037-0.037-0.005-2.47-0.22-0.05-1.1-0.037-0.032-1.985-0.185-0.54</f>
        <v>2.3659999999999992</v>
      </c>
    </row>
    <row r="724" spans="1:5" x14ac:dyDescent="0.3">
      <c r="A724" s="8">
        <v>57</v>
      </c>
      <c r="B724" s="8">
        <v>12</v>
      </c>
      <c r="C724" s="8">
        <v>20</v>
      </c>
      <c r="D724" s="8" t="s">
        <v>1</v>
      </c>
      <c r="E724" s="9">
        <v>5</v>
      </c>
    </row>
    <row r="725" spans="1:5" x14ac:dyDescent="0.3">
      <c r="A725" s="10">
        <v>57</v>
      </c>
      <c r="B725" s="10">
        <v>12</v>
      </c>
      <c r="C725" s="10" t="s">
        <v>26</v>
      </c>
      <c r="D725" s="10" t="s">
        <v>1</v>
      </c>
      <c r="E725" s="15">
        <f>5.09-0.158-0.057-0.29-0.155-0.156-0.008-0.152-0.15-0.71-0.099-0.154-0.158-0.015-0.298-0.306-0.005-0.145-0.038-0.307+0.002-0.057-0.029-0.308-0.043-0.267-0.307-0.308-0.029-0.284+0.3-0.065-0.018-0.247+0.054-0.012</f>
        <v>0.11099999999999928</v>
      </c>
    </row>
    <row r="726" spans="1:5" x14ac:dyDescent="0.3">
      <c r="A726" s="8">
        <v>57</v>
      </c>
      <c r="B726" s="8">
        <v>12</v>
      </c>
      <c r="C726" s="8" t="s">
        <v>26</v>
      </c>
      <c r="D726" s="8" t="s">
        <v>64</v>
      </c>
      <c r="E726" s="9">
        <f>5.2-0.841-0.145-0.142-0.56-0.284-0.008-0.139-0.14-0.043-0.071</f>
        <v>2.827</v>
      </c>
    </row>
    <row r="727" spans="1:5" x14ac:dyDescent="0.3">
      <c r="A727" s="8">
        <v>57</v>
      </c>
      <c r="B727" s="8">
        <v>12</v>
      </c>
      <c r="C727" s="8">
        <v>45</v>
      </c>
      <c r="D727" s="8" t="s">
        <v>1</v>
      </c>
      <c r="E727" s="9">
        <v>5</v>
      </c>
    </row>
    <row r="728" spans="1:5" x14ac:dyDescent="0.3">
      <c r="A728" s="10">
        <v>57</v>
      </c>
      <c r="B728" s="10">
        <v>12</v>
      </c>
      <c r="C728" s="10" t="s">
        <v>28</v>
      </c>
      <c r="D728" s="10" t="s">
        <v>1</v>
      </c>
      <c r="E728" s="15">
        <f>0.096-0.086</f>
        <v>1.0000000000000009E-2</v>
      </c>
    </row>
    <row r="729" spans="1:5" x14ac:dyDescent="0.3">
      <c r="A729" s="8">
        <v>57</v>
      </c>
      <c r="B729" s="8">
        <v>12</v>
      </c>
      <c r="C729" s="8" t="s">
        <v>28</v>
      </c>
      <c r="D729" s="8" t="s">
        <v>1</v>
      </c>
      <c r="E729" s="9">
        <f>5.45-0.05-0.058-0.043-0.022-0.713-0.045-1.015-0.135-0.043-0.031-0.029-0.046</f>
        <v>3.2200000000000006</v>
      </c>
    </row>
    <row r="730" spans="1:5" x14ac:dyDescent="0.3">
      <c r="A730" s="10">
        <v>57</v>
      </c>
      <c r="B730" s="10">
        <v>13</v>
      </c>
      <c r="C730" s="10" t="s">
        <v>31</v>
      </c>
      <c r="D730" s="10" t="s">
        <v>32</v>
      </c>
      <c r="E730" s="15">
        <f>0.095-0.007-0.046</f>
        <v>4.1999999999999996E-2</v>
      </c>
    </row>
    <row r="731" spans="1:5" x14ac:dyDescent="0.3">
      <c r="A731" s="10">
        <v>57</v>
      </c>
      <c r="B731" s="10">
        <v>14</v>
      </c>
      <c r="C731" s="10" t="s">
        <v>28</v>
      </c>
      <c r="D731" s="10" t="s">
        <v>1</v>
      </c>
      <c r="E731" s="15">
        <f>4.77-0.288-0.137-0.017-0.137-0.048-0.16-0.315-0.307-0.104-0.15-0.017-0.309-0.32-0.153-0.022-0.613-0.018-0.02-0.151-0.04-0.094-0.025-0.623-0.015-0.75+0.129-0.062</f>
        <v>3.9999999999990599E-3</v>
      </c>
    </row>
    <row r="732" spans="1:5" x14ac:dyDescent="0.3">
      <c r="A732" s="10">
        <v>57</v>
      </c>
      <c r="B732" s="10">
        <v>14</v>
      </c>
      <c r="C732" s="10" t="s">
        <v>28</v>
      </c>
      <c r="D732" s="10" t="s">
        <v>1</v>
      </c>
      <c r="E732" s="15">
        <f>1.155+8.125-1.422-0.31-0.155-0.048+3.16-0.023+7.565-0.161-1.045-0.039-0.039-0.039</f>
        <v>16.723999999999997</v>
      </c>
    </row>
    <row r="733" spans="1:5" x14ac:dyDescent="0.3">
      <c r="A733" s="10">
        <v>57</v>
      </c>
      <c r="B733" s="10">
        <v>16</v>
      </c>
      <c r="C733" s="10">
        <v>20</v>
      </c>
      <c r="D733" s="10" t="s">
        <v>1</v>
      </c>
      <c r="E733" s="15">
        <f>2.305-0.092-0.097-0.018+0.102-0.077-0.021-0.198-0.051-0.051-0.387-0.194-0.12</f>
        <v>1.1010000000000004</v>
      </c>
    </row>
    <row r="734" spans="1:5" x14ac:dyDescent="0.3">
      <c r="A734" s="10">
        <v>57</v>
      </c>
      <c r="B734" s="10">
        <v>16</v>
      </c>
      <c r="C734" s="10" t="s">
        <v>26</v>
      </c>
      <c r="D734" s="10" t="s">
        <v>1</v>
      </c>
      <c r="E734" s="15">
        <f>3.36+0.025-0.025-0.018-0.018-0.102-0.026-0.04-0.68-0.504-0.094</f>
        <v>1.8780000000000003</v>
      </c>
    </row>
    <row r="735" spans="1:5" x14ac:dyDescent="0.3">
      <c r="A735" s="10">
        <v>57</v>
      </c>
      <c r="B735" s="10">
        <v>16</v>
      </c>
      <c r="C735" s="10">
        <v>35</v>
      </c>
      <c r="D735" s="10" t="s">
        <v>1</v>
      </c>
      <c r="E735" s="15">
        <f>3.161-0.204+0.053-0.105-0.053</f>
        <v>2.8519999999999999</v>
      </c>
    </row>
    <row r="736" spans="1:5" x14ac:dyDescent="0.3">
      <c r="A736" s="10">
        <v>57</v>
      </c>
      <c r="B736" s="10">
        <v>16</v>
      </c>
      <c r="C736" s="10">
        <v>45</v>
      </c>
      <c r="D736" s="10" t="s">
        <v>1</v>
      </c>
      <c r="E736" s="15">
        <f>3.289-0.097-0.581-0.113-0.035</f>
        <v>2.4630000000000001</v>
      </c>
    </row>
    <row r="737" spans="1:5" x14ac:dyDescent="0.3">
      <c r="A737" s="10">
        <v>57</v>
      </c>
      <c r="B737" s="10">
        <v>16</v>
      </c>
      <c r="C737" s="10" t="s">
        <v>30</v>
      </c>
      <c r="D737" s="10" t="s">
        <v>1</v>
      </c>
      <c r="E737" s="15">
        <f>3.493-0.102-0.218-0.035-0.101-0.079-0.115-0.1-0.101-0.115-0.071-0.043-0.11-0.052-0.05-0.166-0.035-0.305-0.024-0.335-0.018-0.235</f>
        <v>1.0829999999999993</v>
      </c>
    </row>
    <row r="738" spans="1:5" x14ac:dyDescent="0.3">
      <c r="A738" s="10">
        <v>57</v>
      </c>
      <c r="B738" s="10">
        <v>18</v>
      </c>
      <c r="C738" s="10">
        <v>20</v>
      </c>
      <c r="D738" s="10" t="s">
        <v>1</v>
      </c>
      <c r="E738" s="15">
        <f>3.34+1.51+0.082-0.102-0.101-0.103-0.103-1.3-0.101-3.1</f>
        <v>2.1999999999999797E-2</v>
      </c>
    </row>
    <row r="739" spans="1:5" x14ac:dyDescent="0.3">
      <c r="A739" s="10">
        <v>57</v>
      </c>
      <c r="B739" s="10">
        <v>18</v>
      </c>
      <c r="C739" s="10">
        <v>20</v>
      </c>
      <c r="D739" s="10" t="s">
        <v>1</v>
      </c>
      <c r="E739" s="15">
        <f>3.1-0.019-0.101-0.019-0.1-0.096-0.097-0.088-0.023-0.101-0.098</f>
        <v>2.3579999999999997</v>
      </c>
    </row>
    <row r="740" spans="1:5" x14ac:dyDescent="0.3">
      <c r="A740" s="10">
        <v>57</v>
      </c>
      <c r="B740" s="10">
        <v>18</v>
      </c>
      <c r="C740" s="10" t="s">
        <v>28</v>
      </c>
      <c r="D740" s="10" t="s">
        <v>64</v>
      </c>
      <c r="E740" s="15">
        <v>5</v>
      </c>
    </row>
    <row r="741" spans="1:5" x14ac:dyDescent="0.3">
      <c r="A741" s="8">
        <v>60</v>
      </c>
      <c r="B741" s="8">
        <v>3.5</v>
      </c>
      <c r="C741" s="13">
        <v>20</v>
      </c>
      <c r="D741" s="8" t="s">
        <v>1</v>
      </c>
      <c r="E741" s="9">
        <f>0.36+0.014-0.006-0.119-0.011-0.006-0.15-0.004-0.016+0.043-0.016-0.034-0.002-0.018-0.005+0.002</f>
        <v>3.1999999999999973E-2</v>
      </c>
    </row>
    <row r="742" spans="1:5" x14ac:dyDescent="0.3">
      <c r="A742" s="8">
        <v>60</v>
      </c>
      <c r="B742" s="8">
        <v>3.5</v>
      </c>
      <c r="C742" s="13">
        <v>20</v>
      </c>
      <c r="D742" s="8" t="s">
        <v>1</v>
      </c>
      <c r="E742" s="9">
        <v>7.0000000000000001E-3</v>
      </c>
    </row>
    <row r="743" spans="1:5" x14ac:dyDescent="0.3">
      <c r="A743" s="8">
        <v>60</v>
      </c>
      <c r="B743" s="8">
        <v>3.5</v>
      </c>
      <c r="C743" s="8">
        <v>20</v>
      </c>
      <c r="D743" s="8" t="s">
        <v>1</v>
      </c>
      <c r="E743" s="9">
        <f>3-0.011-0.021-0.025-0.056-0.111-0.008</f>
        <v>2.7679999999999998</v>
      </c>
    </row>
    <row r="744" spans="1:5" x14ac:dyDescent="0.3">
      <c r="A744" s="10">
        <v>60</v>
      </c>
      <c r="B744" s="10">
        <v>3.5</v>
      </c>
      <c r="C744" s="10">
        <v>20</v>
      </c>
      <c r="D744" s="10" t="s">
        <v>32</v>
      </c>
      <c r="E744" s="15">
        <f>0.044-0.032</f>
        <v>1.1999999999999997E-2</v>
      </c>
    </row>
    <row r="745" spans="1:5" x14ac:dyDescent="0.3">
      <c r="A745" s="8">
        <v>60</v>
      </c>
      <c r="B745" s="8">
        <v>4</v>
      </c>
      <c r="C745" s="8" t="s">
        <v>34</v>
      </c>
      <c r="D745" s="8" t="s">
        <v>7</v>
      </c>
      <c r="E745" s="9">
        <f>0.4-0.018+0.058+0.042-0.01-0.068-0.105</f>
        <v>0.29899999999999999</v>
      </c>
    </row>
    <row r="746" spans="1:5" x14ac:dyDescent="0.3">
      <c r="A746" s="10">
        <v>60</v>
      </c>
      <c r="B746" s="10">
        <v>4</v>
      </c>
      <c r="C746" s="10">
        <v>20</v>
      </c>
      <c r="D746" s="10" t="s">
        <v>1</v>
      </c>
      <c r="E746" s="15">
        <f>1.56-0.013-0.039-0.024+0.64+0.035-0.011-1.78+0.01-0.062-0.017-0.042-0.006-0.007-0.044-0.11-0.006-0.007+0.131-0.058-0.117+0.2-0.058-0.009-0.062+0.03-0.009-0.019-0.015-0.004-0.002-0.001-0.004-0.005-0.001-0.031</f>
        <v>4.3000000000000121E-2</v>
      </c>
    </row>
    <row r="747" spans="1:5" x14ac:dyDescent="0.3">
      <c r="A747" s="10">
        <v>60</v>
      </c>
      <c r="B747" s="10">
        <v>4</v>
      </c>
      <c r="C747" s="10">
        <v>20</v>
      </c>
      <c r="D747" s="10" t="s">
        <v>1</v>
      </c>
      <c r="E747" s="15">
        <f>0.014-0.004+0.031-0.006-0.003-0.007-0.002-0.005-0.002-0.007+0.06</f>
        <v>6.9000000000000006E-2</v>
      </c>
    </row>
    <row r="748" spans="1:5" x14ac:dyDescent="0.3">
      <c r="A748" s="8">
        <v>60</v>
      </c>
      <c r="B748" s="8">
        <v>4</v>
      </c>
      <c r="C748" s="8">
        <v>20</v>
      </c>
      <c r="D748" s="8" t="s">
        <v>1</v>
      </c>
      <c r="E748" s="9">
        <v>3</v>
      </c>
    </row>
    <row r="749" spans="1:5" x14ac:dyDescent="0.3">
      <c r="A749" s="8">
        <v>60</v>
      </c>
      <c r="B749" s="8">
        <v>4</v>
      </c>
      <c r="C749" s="8">
        <v>20</v>
      </c>
      <c r="D749" s="8" t="s">
        <v>8</v>
      </c>
      <c r="E749" s="9">
        <f>2.523-0.008-0.05</f>
        <v>2.4650000000000003</v>
      </c>
    </row>
    <row r="750" spans="1:5" x14ac:dyDescent="0.3">
      <c r="A750" s="10">
        <v>60</v>
      </c>
      <c r="B750" s="10">
        <v>4</v>
      </c>
      <c r="C750" s="10" t="s">
        <v>12</v>
      </c>
      <c r="D750" s="10" t="s">
        <v>32</v>
      </c>
      <c r="E750" s="15">
        <f>0.024+0.004</f>
        <v>2.8000000000000001E-2</v>
      </c>
    </row>
    <row r="751" spans="1:5" x14ac:dyDescent="0.3">
      <c r="A751" s="10">
        <v>60</v>
      </c>
      <c r="B751" s="10">
        <v>4</v>
      </c>
      <c r="C751" s="10" t="s">
        <v>26</v>
      </c>
      <c r="D751" s="10" t="s">
        <v>1</v>
      </c>
      <c r="E751" s="15">
        <f>4.195-0.027-0.013-0.013-0.036-0.013-0.038-0.005-0.01-0.01-0.013-0.256-0.022-0.058-0.079-0.019-0.063-0.019-0.013+0.052-0.03-0.01-0.007-0.022-0.019-0.013-0.02-0.119-0.028-0.004-0.014-0.037-0.019-0.007-0.024-0.007-0.013-0.058-0.019-0.007-0.006-0.013-0.013-0.007-0.062-0.022-0.019-0.006-0.004-0.013-0.007-0.019-0.01-0.007-0.008-0.174-0.108-0.355-0.06-0.005-0.064-0.062-0.174-0.024-0.005-0.004-0.06-0.016-0.004-0.01-0.061-0.064-0.002-0.01-0.011-0.029-0.125-0.006-0.002-0.013-0.007-0.007-0.007-0.016-0.019+2.995-0.061-0.013-0.012-0.008-0.016-0.009-0.019-0.058-0.002-0.024-0.018-0.024-0.002-0.055-0.005-0.006-0.013-0.013</f>
        <v>3.980000000000004</v>
      </c>
    </row>
    <row r="752" spans="1:5" x14ac:dyDescent="0.3">
      <c r="A752" s="10">
        <v>60</v>
      </c>
      <c r="B752" s="10">
        <v>5</v>
      </c>
      <c r="C752" s="10">
        <v>20</v>
      </c>
      <c r="D752" s="10" t="s">
        <v>1</v>
      </c>
      <c r="E752" s="15">
        <f>2.59-0.012-0.077-0.017-0.075-0.015-0.015+0.034-0.01-0.016-0.008-0.004-0.077-0.008-0.02-0.084-0.007-0.076-0.01-0.045-0.16-0.042-0.154-0.004-0.077-0.022-0.163-0.109-0.614-0.075-0.008-0.151-0.08-0.012-0.012+0.26-0.008-0.07-0.075-0.019-0.15-0.059-0.225-0.01-0.002</f>
        <v>6.9999999999997113E-3</v>
      </c>
    </row>
    <row r="753" spans="1:5" x14ac:dyDescent="0.3">
      <c r="A753" s="8">
        <v>60</v>
      </c>
      <c r="B753" s="8">
        <v>5</v>
      </c>
      <c r="C753" s="8">
        <v>20</v>
      </c>
      <c r="D753" s="8" t="s">
        <v>1</v>
      </c>
      <c r="E753" s="9">
        <v>3</v>
      </c>
    </row>
    <row r="754" spans="1:5" x14ac:dyDescent="0.3">
      <c r="A754" s="10">
        <v>60</v>
      </c>
      <c r="B754" s="10">
        <v>5</v>
      </c>
      <c r="C754" s="10" t="s">
        <v>26</v>
      </c>
      <c r="D754" s="10" t="s">
        <v>64</v>
      </c>
      <c r="E754" s="15">
        <f>5.96-0.008-0.062-0.075-0.01-0.008-0.015-0.008-0.005-0.008-0.7-0.004-0.233-0.008-0.074-0.006-0.078-0.008-0.078-0.016-0.016-0.078-0.005-0.023-0.002-0.026-0.016-0.008-0.031-0.078-0.012-0.008-0.076-0.076-0.456-0.013-0.002-0.023-0.023-0.155-0.008-0.009-0.28-0.002-0.042-0.045-0.027-0.692-0.032-0.008-0.078-0.155-0.078</f>
        <v>1.9730000000000028</v>
      </c>
    </row>
    <row r="755" spans="1:5" x14ac:dyDescent="0.3">
      <c r="A755" s="10">
        <v>60</v>
      </c>
      <c r="B755" s="10">
        <v>5</v>
      </c>
      <c r="C755" s="10" t="s">
        <v>26</v>
      </c>
      <c r="D755" s="10" t="s">
        <v>1</v>
      </c>
      <c r="E755" s="15">
        <v>3.09</v>
      </c>
    </row>
    <row r="756" spans="1:5" x14ac:dyDescent="0.3">
      <c r="A756" s="8">
        <v>60</v>
      </c>
      <c r="B756" s="8">
        <v>5</v>
      </c>
      <c r="C756" s="8" t="s">
        <v>30</v>
      </c>
      <c r="D756" s="8" t="s">
        <v>1</v>
      </c>
      <c r="E756" s="9">
        <f>2.99-0.28-0.21-0.92-0.555</f>
        <v>1.0249999999999999</v>
      </c>
    </row>
    <row r="757" spans="1:5" x14ac:dyDescent="0.3">
      <c r="A757" s="10">
        <v>60</v>
      </c>
      <c r="B757" s="10">
        <v>5.5</v>
      </c>
      <c r="C757" s="10">
        <v>20</v>
      </c>
      <c r="D757" s="10" t="s">
        <v>32</v>
      </c>
      <c r="E757" s="15">
        <f>0.73+0.022-0.005-0.018-0.008-0.013-0.004-0.036-0.49-0.009</f>
        <v>0.16899999999999993</v>
      </c>
    </row>
    <row r="758" spans="1:5" x14ac:dyDescent="0.3">
      <c r="A758" s="10">
        <v>60</v>
      </c>
      <c r="B758" s="10">
        <v>5.5</v>
      </c>
      <c r="C758" s="10" t="s">
        <v>139</v>
      </c>
      <c r="D758" s="10" t="s">
        <v>114</v>
      </c>
      <c r="E758" s="15">
        <v>0.35499999999999998</v>
      </c>
    </row>
    <row r="759" spans="1:5" x14ac:dyDescent="0.3">
      <c r="A759" s="10">
        <v>60</v>
      </c>
      <c r="B759" s="10">
        <v>6</v>
      </c>
      <c r="C759" s="10">
        <v>20</v>
      </c>
      <c r="D759" s="10" t="s">
        <v>1</v>
      </c>
      <c r="E759" s="15">
        <f>0.077+0.051-0.03-0.02-0.051-0.005-0.007-0.005+0.173-0.051-0.049-0.064-0.005-0.002-0.011+0.004</f>
        <v>5.0000000000000027E-3</v>
      </c>
    </row>
    <row r="760" spans="1:5" x14ac:dyDescent="0.3">
      <c r="A760" s="8">
        <v>60</v>
      </c>
      <c r="B760" s="8">
        <v>6</v>
      </c>
      <c r="C760" s="8">
        <v>20</v>
      </c>
      <c r="D760" s="8" t="s">
        <v>1</v>
      </c>
      <c r="E760" s="9">
        <v>5</v>
      </c>
    </row>
    <row r="761" spans="1:5" x14ac:dyDescent="0.3">
      <c r="A761" s="10">
        <v>60</v>
      </c>
      <c r="B761" s="10">
        <v>6</v>
      </c>
      <c r="C761" s="10" t="s">
        <v>12</v>
      </c>
      <c r="D761" s="10" t="s">
        <v>32</v>
      </c>
      <c r="E761" s="15">
        <f>4.87-0.01-0.027-0.01-0.098-4.725+0.05-0.023</f>
        <v>2.7000000000000891E-2</v>
      </c>
    </row>
    <row r="762" spans="1:5" x14ac:dyDescent="0.3">
      <c r="A762" s="10">
        <v>60</v>
      </c>
      <c r="B762" s="10">
        <v>6</v>
      </c>
      <c r="C762" s="10" t="s">
        <v>12</v>
      </c>
      <c r="D762" s="10" t="s">
        <v>32</v>
      </c>
      <c r="E762" s="15">
        <f>4.58-0.191-0.103-0.098+0.092-0.096</f>
        <v>4.1840000000000002</v>
      </c>
    </row>
    <row r="763" spans="1:5" x14ac:dyDescent="0.3">
      <c r="A763" s="10">
        <v>60</v>
      </c>
      <c r="B763" s="10">
        <v>6</v>
      </c>
      <c r="C763" s="10" t="s">
        <v>26</v>
      </c>
      <c r="D763" s="10" t="s">
        <v>64</v>
      </c>
      <c r="E763" s="15">
        <f>7.58-0.006-0.014-0.245-0.089-0.166-0.059-0.014-0.003-0.069-0.018-0.003-0.027-1.324-0.014-0.009-0.025-0.108-0.026-0.079-0.082-0.012-0.329-0.031-0.092-0.004-0.185-0.005-0.044-0.011-0.02-0.015-0.009-0.048-0.031-0.079-0.003-0.025-0.025-0.009-0.003-0.003-0.003-0.069-0.305-0.018-0.018-0.167-0.047-0.052-0.41-0.026-0.249-0.014-0.005-0.265-0.085-0.018-0.11-1-0.085-0.162-0.23-0.028-0.164-0.088-0.184-0.007-0.005-0.005-0.085-0.018-0.009-0.69+1-0.17-0.01-0.009-0.028</f>
        <v>0.37900000000000122</v>
      </c>
    </row>
    <row r="764" spans="1:5" x14ac:dyDescent="0.3">
      <c r="A764" s="10">
        <v>60</v>
      </c>
      <c r="B764" s="10">
        <v>6</v>
      </c>
      <c r="C764" s="10" t="s">
        <v>26</v>
      </c>
      <c r="D764" s="10" t="s">
        <v>64</v>
      </c>
      <c r="E764" s="15">
        <f>0.69-0.009-0.018-0.026-0.018-0.018-0.031-0.052-0.084-0.013-0.052-0.082-0.093-0.093-0.014-0.044-0.022-0.007-0.022+0.017</f>
        <v>8.9999999999997651E-3</v>
      </c>
    </row>
    <row r="765" spans="1:5" x14ac:dyDescent="0.3">
      <c r="A765" s="10">
        <v>60</v>
      </c>
      <c r="B765" s="10">
        <v>6</v>
      </c>
      <c r="C765" s="10" t="s">
        <v>26</v>
      </c>
      <c r="D765" s="10" t="s">
        <v>1</v>
      </c>
      <c r="E765" s="15">
        <f>10.256-0.281-0.185-0.093-0.018-0.006-0.044-0.028-0.278-0.014-0.018-0.185-0.08-0.009-0.185-0.093-0.018-0.009-0.093-0.026-0.093-0.006-0.53-0.185-0.052-0.009-0.093-0.093-0.093-0.03-0.01-0.018-0.006-0.035-0.093-0.002-0.018-0.91-0.009-0.093-0.37-0.185-0.018-0.026-0.004-0.278-0.093-0.052-0.026-0.009-0.185-0.185-0.033-0.093-0.093-0.01-0.017-0.021-0.005-0.005-0.029-0.62-0.037-0.093-0.093-0.026-0.104-0.039-0.015-0.188-0.044-0.014-0.43-0.014-0.188-0.01-0.093-0.018-0.061-0.28-0.018-0.067-0.037-0.009-0.19-0.004-0.052-0.02-0.023-0.044-0.018-0.093-0.009-0.035-0.035+3.025-0.006-0.019-0.052-0.007-0.093-0.052-0.035-0.033-0.069-0.101-0.014-0.093-0.025-0.015-0.004-0.361-0.011-0.035-0.093-0.01-0.027-0.093-0.004-0.01+3-0.027-0.052-0.031-0.014</f>
        <v>6.0959999999999974</v>
      </c>
    </row>
    <row r="766" spans="1:5" x14ac:dyDescent="0.3">
      <c r="A766" s="10">
        <v>60</v>
      </c>
      <c r="B766" s="10">
        <v>6</v>
      </c>
      <c r="C766" s="10" t="s">
        <v>28</v>
      </c>
      <c r="D766" s="10" t="s">
        <v>1</v>
      </c>
      <c r="E766" s="15">
        <v>10</v>
      </c>
    </row>
    <row r="767" spans="1:5" x14ac:dyDescent="0.3">
      <c r="A767" s="8">
        <v>60</v>
      </c>
      <c r="B767" s="8">
        <v>7</v>
      </c>
      <c r="C767" s="8" t="s">
        <v>26</v>
      </c>
      <c r="D767" s="8" t="s">
        <v>1</v>
      </c>
      <c r="E767" s="9">
        <f>2.954-0.075-0.03-0.203-0.027-0.203-0.019+3.217-0.61</f>
        <v>5.0040000000000004</v>
      </c>
    </row>
    <row r="768" spans="1:5" x14ac:dyDescent="0.3">
      <c r="A768" s="10">
        <v>60</v>
      </c>
      <c r="B768" s="10">
        <v>7</v>
      </c>
      <c r="C768" s="10" t="s">
        <v>42</v>
      </c>
      <c r="D768" s="10" t="s">
        <v>1</v>
      </c>
      <c r="E768" s="15">
        <v>2.335</v>
      </c>
    </row>
    <row r="769" spans="1:5" x14ac:dyDescent="0.3">
      <c r="A769" s="10">
        <v>60</v>
      </c>
      <c r="B769" s="10">
        <v>8</v>
      </c>
      <c r="C769" s="10">
        <v>20</v>
      </c>
      <c r="D769" s="10" t="s">
        <v>1</v>
      </c>
      <c r="E769" s="15">
        <v>3.0350000000000001</v>
      </c>
    </row>
    <row r="770" spans="1:5" x14ac:dyDescent="0.3">
      <c r="A770" s="8">
        <v>60</v>
      </c>
      <c r="B770" s="8">
        <v>8</v>
      </c>
      <c r="C770" s="8">
        <v>20</v>
      </c>
      <c r="D770" s="8" t="s">
        <v>1</v>
      </c>
      <c r="E770" s="9">
        <v>5</v>
      </c>
    </row>
    <row r="771" spans="1:5" x14ac:dyDescent="0.3">
      <c r="A771" s="10">
        <v>60</v>
      </c>
      <c r="B771" s="10">
        <v>8</v>
      </c>
      <c r="C771" s="10" t="s">
        <v>28</v>
      </c>
      <c r="D771" s="10" t="s">
        <v>1</v>
      </c>
      <c r="E771" s="15">
        <f>5.3-0.034-0.073-0.391-0.028-0.543-0.067-0.59-0.038-0.394-0.104-0.056-0.034-0.006</f>
        <v>2.9420000000000002</v>
      </c>
    </row>
    <row r="772" spans="1:5" x14ac:dyDescent="0.3">
      <c r="A772" s="10">
        <v>60</v>
      </c>
      <c r="B772" s="10">
        <v>8</v>
      </c>
      <c r="C772" s="10" t="s">
        <v>30</v>
      </c>
      <c r="D772" s="10" t="s">
        <v>1</v>
      </c>
      <c r="E772" s="15">
        <f>9.925-0.023-0.102-0.406-0.008-0.476</f>
        <v>8.91</v>
      </c>
    </row>
    <row r="773" spans="1:5" x14ac:dyDescent="0.3">
      <c r="A773" s="10">
        <v>60</v>
      </c>
      <c r="B773" s="10">
        <v>8</v>
      </c>
      <c r="C773" s="10" t="s">
        <v>31</v>
      </c>
      <c r="D773" s="10" t="s">
        <v>32</v>
      </c>
      <c r="E773" s="15">
        <f>0.601-0.007-0.24</f>
        <v>0.35399999999999998</v>
      </c>
    </row>
    <row r="774" spans="1:5" x14ac:dyDescent="0.3">
      <c r="A774" s="8">
        <v>60</v>
      </c>
      <c r="B774" s="8">
        <v>10</v>
      </c>
      <c r="C774" s="8">
        <v>20</v>
      </c>
      <c r="D774" s="8" t="s">
        <v>1</v>
      </c>
      <c r="E774" s="9">
        <v>5</v>
      </c>
    </row>
    <row r="775" spans="1:5" x14ac:dyDescent="0.3">
      <c r="A775" s="10">
        <v>60</v>
      </c>
      <c r="B775" s="10">
        <v>10</v>
      </c>
      <c r="C775" s="10" t="s">
        <v>26</v>
      </c>
      <c r="D775" s="10" t="s">
        <v>1</v>
      </c>
      <c r="E775" s="15">
        <f>4.1-0.261-0.052-0.077-0.014+1.24-0.115-0.014+0.099-0.003-0.039-0.074-0.078+0.013-0.051-0.012-0.38-0.256-0.128-0.128-0.39-0.02-0.129-0.019-0.385-0.129-0.09-0.129-0.155-0.129-0.01-0.065-0.014-0.095-0.133-0.099-0.078-0.126-0.05-0.132-0.263-0.63-0.08-0.129-0.256+0.182-0.027-0.043-0.128-0.013+0.008-0.014+0.001</f>
        <v>9.9999999999985083E-4</v>
      </c>
    </row>
    <row r="776" spans="1:5" x14ac:dyDescent="0.3">
      <c r="A776" s="10">
        <v>60</v>
      </c>
      <c r="B776" s="10">
        <v>10</v>
      </c>
      <c r="C776" s="10" t="s">
        <v>28</v>
      </c>
      <c r="D776" s="10" t="s">
        <v>1</v>
      </c>
      <c r="E776" s="15">
        <f>5.105-0.84-0.218-0.218-0.029-0.112-0.079-0.109-0.11-0.028-0.081-0.11-0.112-0.04-0.22-0.054-0.053-0.112-0.04-0.022-0.115-0.079-0.035-0.01-0.015-0.114-0.028</f>
        <v>2.1220000000000003</v>
      </c>
    </row>
    <row r="777" spans="1:5" x14ac:dyDescent="0.3">
      <c r="A777" s="10">
        <v>60</v>
      </c>
      <c r="B777" s="10">
        <v>10</v>
      </c>
      <c r="C777" s="10" t="s">
        <v>95</v>
      </c>
      <c r="D777" s="10" t="s">
        <v>1</v>
      </c>
      <c r="E777" s="15">
        <f>5.11-4.155-0.027</f>
        <v>0.92800000000000005</v>
      </c>
    </row>
    <row r="778" spans="1:5" x14ac:dyDescent="0.3">
      <c r="A778" s="10">
        <v>60</v>
      </c>
      <c r="B778" s="10">
        <v>10</v>
      </c>
      <c r="C778" s="10" t="s">
        <v>30</v>
      </c>
      <c r="D778" s="10" t="s">
        <v>1</v>
      </c>
      <c r="E778" s="15">
        <f>5.21-0.24-0.014-0.226-0.02-0.344-0.082-0.052-0.039-0.339-0.023-0.243+2.952</f>
        <v>6.5400000000000009</v>
      </c>
    </row>
    <row r="779" spans="1:5" x14ac:dyDescent="0.3">
      <c r="A779" s="10">
        <v>60</v>
      </c>
      <c r="B779" s="10">
        <v>11</v>
      </c>
      <c r="C779" s="10">
        <v>45</v>
      </c>
      <c r="D779" s="10" t="s">
        <v>1</v>
      </c>
      <c r="E779" s="15">
        <f>2.36-0.135-0.043-0.091-0.135-0.043-0.013-0.046+0.007-0.015-0.136-0.086-0.03-0.022-0.03-0.057-0.137-0.137</f>
        <v>1.2109999999999994</v>
      </c>
    </row>
    <row r="780" spans="1:5" x14ac:dyDescent="0.3">
      <c r="A780" s="8">
        <v>60</v>
      </c>
      <c r="B780" s="8">
        <v>12</v>
      </c>
      <c r="C780" s="8">
        <v>20</v>
      </c>
      <c r="D780" s="8" t="s">
        <v>1</v>
      </c>
      <c r="E780" s="9">
        <f>0.13-0.06-0.008-0.005-0.02-0.026-0.017+0.018</f>
        <v>1.2000000000000004E-2</v>
      </c>
    </row>
    <row r="781" spans="1:5" x14ac:dyDescent="0.3">
      <c r="A781" s="8">
        <v>60</v>
      </c>
      <c r="B781" s="8">
        <v>12</v>
      </c>
      <c r="C781" s="8">
        <v>20</v>
      </c>
      <c r="D781" s="8" t="s">
        <v>1</v>
      </c>
      <c r="E781" s="9">
        <f>3.05-0.061-0.015-0.368-0.062-0.09-0.011-0.045-0.017-0.017</f>
        <v>2.3640000000000003</v>
      </c>
    </row>
    <row r="782" spans="1:5" x14ac:dyDescent="0.3">
      <c r="A782" s="10">
        <v>60</v>
      </c>
      <c r="B782" s="10">
        <v>12</v>
      </c>
      <c r="C782" s="10" t="s">
        <v>26</v>
      </c>
      <c r="D782" s="10" t="s">
        <v>1</v>
      </c>
      <c r="E782" s="15">
        <f>1.22-0.12-0.134-0.019-0.012-0.026-0.003-0.065-0.018-0.124-0.017-0.119-0.046-0.045-0.031-0.046-0.009-0.242-0.081-0.046</f>
        <v>1.699999999999996E-2</v>
      </c>
    </row>
    <row r="783" spans="1:5" x14ac:dyDescent="0.3">
      <c r="A783" s="10">
        <v>60</v>
      </c>
      <c r="B783" s="10">
        <v>12</v>
      </c>
      <c r="C783" s="10" t="s">
        <v>26</v>
      </c>
      <c r="D783" s="10" t="s">
        <v>64</v>
      </c>
      <c r="E783" s="15">
        <f>5.355-0.302-0.3-0.152-0.023-0.147-0.008-0.443-0.031-0.038-0.075-0.023-0.15-0.09-0.149-0.046-0.678-0.056-0.295-0.004-0.031-0.45-0.15-0.026-0.023-0.014-0.028-0.046-0.009-0.033-0.068-0.14-0.017-0.15-0.006-0.016-0.016</f>
        <v>1.1220000000000014</v>
      </c>
    </row>
    <row r="784" spans="1:5" x14ac:dyDescent="0.3">
      <c r="A784" s="10">
        <v>60</v>
      </c>
      <c r="B784" s="10">
        <v>14</v>
      </c>
      <c r="C784" s="10">
        <v>20</v>
      </c>
      <c r="D784" s="10" t="s">
        <v>1</v>
      </c>
      <c r="E784" s="15">
        <f>0.147-0.018+0.01-0.008-0.018-0.026-0.018-0.018-0.028</f>
        <v>2.3000000000000003E-2</v>
      </c>
    </row>
    <row r="785" spans="1:5" x14ac:dyDescent="0.3">
      <c r="A785" s="8">
        <v>60</v>
      </c>
      <c r="B785" s="8">
        <v>14</v>
      </c>
      <c r="C785" s="8">
        <v>20</v>
      </c>
      <c r="D785" s="8" t="s">
        <v>1</v>
      </c>
      <c r="E785" s="9">
        <v>5</v>
      </c>
    </row>
    <row r="786" spans="1:5" x14ac:dyDescent="0.3">
      <c r="A786" s="10">
        <v>60</v>
      </c>
      <c r="B786" s="10">
        <v>14</v>
      </c>
      <c r="C786" s="10" t="s">
        <v>26</v>
      </c>
      <c r="D786" s="10" t="s">
        <v>64</v>
      </c>
      <c r="E786" s="15">
        <f>5.005-0.29-0.018-0.128-0.051-0.026-0.143-0.02-0.311-0.156-0.01-0.051-0.018-0.131-0.018-0.153-0.018-0.153-0.101-0.042</f>
        <v>3.1670000000000016</v>
      </c>
    </row>
    <row r="787" spans="1:5" x14ac:dyDescent="0.3">
      <c r="A787" s="10">
        <v>60</v>
      </c>
      <c r="B787" s="10">
        <v>14</v>
      </c>
      <c r="C787" s="10">
        <v>35</v>
      </c>
      <c r="D787" s="10" t="s">
        <v>1</v>
      </c>
      <c r="E787" s="15">
        <f>5.44-0.143-0.43+5.24-0.068-0.01-0.355-0.149-0.018-0.15-0.304-2.05-0.15-0.082-0.148-0.142-1.13-0.196-3.08-1.74</f>
        <v>0.33500000000000107</v>
      </c>
    </row>
    <row r="788" spans="1:5" x14ac:dyDescent="0.3">
      <c r="A788" s="10">
        <v>60</v>
      </c>
      <c r="B788" s="10">
        <v>14</v>
      </c>
      <c r="C788" s="10" t="s">
        <v>28</v>
      </c>
      <c r="D788" s="10" t="s">
        <v>1</v>
      </c>
      <c r="E788" s="15">
        <f>2.76+2.44-1.09-0.153-0.16-0.294-0.019-0.168-0.16-0.168-0.165-0.018-0.11-0.102-0.147-1.44</f>
        <v>1.0059999999999993</v>
      </c>
    </row>
    <row r="789" spans="1:5" x14ac:dyDescent="0.3">
      <c r="A789" s="10">
        <v>60</v>
      </c>
      <c r="B789" s="10">
        <v>14</v>
      </c>
      <c r="C789" s="10" t="s">
        <v>30</v>
      </c>
      <c r="D789" s="10" t="s">
        <v>1</v>
      </c>
      <c r="E789" s="15">
        <f>11.849-0.047-0.05-0.305-0.1-0.035-0.325-0.034-0.252-0.14-0.098-0.096-1.06-0.326-0.26-0.033-0.101-0.43+0.045-0.283-0.43-1.135-0.049-0.156-0.42-0.42-0.095-0.082-0.15-0.156-0.045-0.145-0.003-0.068-0.14-0.275-0.098-0.696-0.42-0.195-0.017-0.025-0.215-0.012-0.43-0.044-0.74-0.098-0.292-0.144-0.151-0.294-0.096-0.113</f>
        <v>6.99999999999983E-2</v>
      </c>
    </row>
    <row r="790" spans="1:5" x14ac:dyDescent="0.3">
      <c r="A790" s="10">
        <v>60</v>
      </c>
      <c r="B790" s="10">
        <v>14</v>
      </c>
      <c r="C790" s="10" t="s">
        <v>30</v>
      </c>
      <c r="D790" s="10" t="s">
        <v>1</v>
      </c>
      <c r="E790" s="15">
        <f>3.39+5.25-0.05-0.127-0.74-0.026-0.12-0.159-0.05-0.236-0.68-0.118-0.237-0.302-0.235-0.354-0.022-0.116-0.05-0.127-4.794-0.045</f>
        <v>5.2000000000000421E-2</v>
      </c>
    </row>
    <row r="791" spans="1:5" x14ac:dyDescent="0.3">
      <c r="A791" s="10">
        <v>60</v>
      </c>
      <c r="B791" s="10">
        <v>14</v>
      </c>
      <c r="C791" s="10" t="s">
        <v>30</v>
      </c>
      <c r="D791" s="10" t="s">
        <v>1</v>
      </c>
      <c r="E791" s="15">
        <f>0.09+4.794-0.256-0.72-0.127-0.019-0.038-0.127+0.045-0.04-0.38-0.06-0.11-0.127-0.256-0.125-0.127-0.057-0.37-0.128-0.119-0.12-0.363-0.067-0.026-0.127-0.232-0.088-0.235-0.477</f>
        <v>7.9999999999998961E-3</v>
      </c>
    </row>
    <row r="792" spans="1:5" x14ac:dyDescent="0.3">
      <c r="A792" s="8">
        <v>60</v>
      </c>
      <c r="B792" s="8">
        <v>16</v>
      </c>
      <c r="C792" s="8">
        <v>20</v>
      </c>
      <c r="D792" s="8" t="s">
        <v>1</v>
      </c>
      <c r="E792" s="9">
        <v>5</v>
      </c>
    </row>
    <row r="793" spans="1:5" x14ac:dyDescent="0.3">
      <c r="A793" s="8">
        <v>60</v>
      </c>
      <c r="B793" s="8">
        <v>16</v>
      </c>
      <c r="C793" s="8">
        <v>45</v>
      </c>
      <c r="D793" s="8" t="s">
        <v>1</v>
      </c>
      <c r="E793" s="9">
        <v>5</v>
      </c>
    </row>
    <row r="794" spans="1:5" x14ac:dyDescent="0.3">
      <c r="A794" s="10">
        <v>60</v>
      </c>
      <c r="B794" s="10">
        <v>20</v>
      </c>
      <c r="C794" s="10">
        <v>20</v>
      </c>
      <c r="D794" s="10" t="s">
        <v>1</v>
      </c>
      <c r="E794" s="15">
        <f>2.125-0.11+1.065+0.088-0.215-0.111-0.042-0.225-0.047-0.014-0.115-0.063-0.112-0.012-0.012-0.85-1.06</f>
        <v>0.28999999999999959</v>
      </c>
    </row>
    <row r="795" spans="1:5" x14ac:dyDescent="0.3">
      <c r="A795" s="10">
        <v>60</v>
      </c>
      <c r="B795" s="10">
        <v>20</v>
      </c>
      <c r="C795" s="10" t="s">
        <v>26</v>
      </c>
      <c r="D795" s="10" t="s">
        <v>64</v>
      </c>
      <c r="E795" s="15">
        <f>1.74+1.79-0.113-0.037-0.043</f>
        <v>3.3370000000000002</v>
      </c>
    </row>
    <row r="796" spans="1:5" x14ac:dyDescent="0.3">
      <c r="A796" s="10">
        <v>60</v>
      </c>
      <c r="B796" s="10">
        <v>20</v>
      </c>
      <c r="C796" s="10">
        <v>45</v>
      </c>
      <c r="D796" s="10" t="s">
        <v>1</v>
      </c>
      <c r="E796" s="15">
        <f>1.665+0.293-0.095+0.2+0.59-0.106-0.042-0.063-0.038-0.105-0.594</f>
        <v>1.7050000000000005</v>
      </c>
    </row>
    <row r="797" spans="1:5" x14ac:dyDescent="0.3">
      <c r="A797" s="10">
        <v>60.3</v>
      </c>
      <c r="B797" s="10">
        <v>12.5</v>
      </c>
      <c r="C797" s="10" t="s">
        <v>21</v>
      </c>
      <c r="D797" s="10" t="s">
        <v>64</v>
      </c>
      <c r="E797" s="15">
        <f>0.43-0.09-0.016-0.079-0.18+2.31-0.093-0.05-0.013-0.08-0.006-0.092-0.029+0.064-0.064-1.87</f>
        <v>0.14200000000000035</v>
      </c>
    </row>
    <row r="798" spans="1:5" x14ac:dyDescent="0.3">
      <c r="A798" s="10">
        <v>60.3</v>
      </c>
      <c r="B798" s="10">
        <v>12.5</v>
      </c>
      <c r="C798" s="10" t="s">
        <v>21</v>
      </c>
      <c r="D798" s="10" t="s">
        <v>64</v>
      </c>
      <c r="E798" s="15">
        <f>1.87-0.185-0.024-0.016-0.024-0.039-0.371-0.093</f>
        <v>1.1180000000000001</v>
      </c>
    </row>
    <row r="799" spans="1:5" x14ac:dyDescent="0.3">
      <c r="A799" s="10">
        <v>60.3</v>
      </c>
      <c r="B799" s="10">
        <v>14.2</v>
      </c>
      <c r="C799" s="10" t="s">
        <v>21</v>
      </c>
      <c r="D799" s="10" t="s">
        <v>64</v>
      </c>
      <c r="E799" s="15">
        <f>1.47+0.069+0.075-0.203-0.202</f>
        <v>1.2089999999999999</v>
      </c>
    </row>
    <row r="800" spans="1:5" x14ac:dyDescent="0.3">
      <c r="A800" s="10">
        <v>63.5</v>
      </c>
      <c r="B800" s="10">
        <v>4.5</v>
      </c>
      <c r="C800" s="10">
        <v>45</v>
      </c>
      <c r="D800" s="10" t="s">
        <v>1</v>
      </c>
      <c r="E800" s="15">
        <f>0.045-0.013+1.01-0.028-0.004-0.024-0.014+2.32-0.02-0.041-0.002-0.028-0.008-0.188-0.011-0.125-0.064-0.057-0.061-0.011-0.034-0.031-0.008-0.006-0.185-0.033-0.061-0.056</f>
        <v>2.262</v>
      </c>
    </row>
    <row r="801" spans="1:5" x14ac:dyDescent="0.3">
      <c r="A801" s="8">
        <v>63.5</v>
      </c>
      <c r="B801" s="8">
        <v>5</v>
      </c>
      <c r="C801" s="8">
        <v>20</v>
      </c>
      <c r="D801" s="8" t="s">
        <v>1</v>
      </c>
      <c r="E801" s="9">
        <f>0.51+2.62-0.078-0.47-0.025-0.017-0.016-0.033</f>
        <v>2.4910000000000001</v>
      </c>
    </row>
    <row r="802" spans="1:5" x14ac:dyDescent="0.3">
      <c r="A802" s="8">
        <v>63.5</v>
      </c>
      <c r="B802" s="8">
        <v>5</v>
      </c>
      <c r="C802" s="8">
        <v>20</v>
      </c>
      <c r="D802" s="8" t="s">
        <v>1</v>
      </c>
      <c r="E802" s="9">
        <v>3</v>
      </c>
    </row>
    <row r="803" spans="1:5" x14ac:dyDescent="0.3">
      <c r="A803" s="8">
        <v>63.5</v>
      </c>
      <c r="B803" s="8">
        <v>6</v>
      </c>
      <c r="C803" s="8">
        <v>20</v>
      </c>
      <c r="D803" s="8" t="s">
        <v>1</v>
      </c>
      <c r="E803" s="9">
        <v>5</v>
      </c>
    </row>
    <row r="804" spans="1:5" x14ac:dyDescent="0.3">
      <c r="A804" s="10">
        <v>63.5</v>
      </c>
      <c r="B804" s="10">
        <v>6</v>
      </c>
      <c r="C804" s="10" t="s">
        <v>26</v>
      </c>
      <c r="D804" s="10" t="s">
        <v>64</v>
      </c>
      <c r="E804" s="15">
        <f>1.905+0.65-0.46</f>
        <v>2.0950000000000002</v>
      </c>
    </row>
    <row r="805" spans="1:5" x14ac:dyDescent="0.3">
      <c r="A805" s="10">
        <v>63.5</v>
      </c>
      <c r="B805" s="10">
        <v>6</v>
      </c>
      <c r="C805" s="10" t="s">
        <v>26</v>
      </c>
      <c r="D805" s="10" t="s">
        <v>64</v>
      </c>
      <c r="E805" s="15">
        <f>5-2.555</f>
        <v>2.4449999999999998</v>
      </c>
    </row>
    <row r="806" spans="1:5" x14ac:dyDescent="0.3">
      <c r="A806" s="10">
        <v>63.5</v>
      </c>
      <c r="B806" s="10">
        <v>6</v>
      </c>
      <c r="C806" s="10" t="s">
        <v>28</v>
      </c>
      <c r="D806" s="10" t="s">
        <v>1</v>
      </c>
      <c r="E806" s="15">
        <f>5.565-0.173-0.038-0.019-0.01-0.389-0.191-0.056</f>
        <v>4.6890000000000001</v>
      </c>
    </row>
    <row r="807" spans="1:5" x14ac:dyDescent="0.3">
      <c r="A807" s="10">
        <v>63.5</v>
      </c>
      <c r="B807" s="10">
        <v>6</v>
      </c>
      <c r="C807" s="10" t="s">
        <v>108</v>
      </c>
      <c r="D807" s="10" t="s">
        <v>1</v>
      </c>
      <c r="E807" s="15">
        <f>18.685-0.056-0.167-2.054</f>
        <v>16.407999999999998</v>
      </c>
    </row>
    <row r="808" spans="1:5" x14ac:dyDescent="0.3">
      <c r="A808" s="10">
        <v>63.5</v>
      </c>
      <c r="B808" s="10">
        <v>7</v>
      </c>
      <c r="C808" s="10" t="s">
        <v>30</v>
      </c>
      <c r="D808" s="10" t="s">
        <v>1</v>
      </c>
      <c r="E808" s="15">
        <f>1.45-0.314-0.074-0.011-0.006-0.211-0.103-0.21-0.022-0.105-0.032-0.006-0.106-0.046</f>
        <v>0.20400000000000001</v>
      </c>
    </row>
    <row r="809" spans="1:5" x14ac:dyDescent="0.3">
      <c r="A809" s="8">
        <v>63.5</v>
      </c>
      <c r="B809" s="8">
        <v>8</v>
      </c>
      <c r="C809" s="8">
        <v>20</v>
      </c>
      <c r="D809" s="8" t="s">
        <v>1</v>
      </c>
      <c r="E809" s="9">
        <v>5</v>
      </c>
    </row>
    <row r="810" spans="1:5" x14ac:dyDescent="0.3">
      <c r="A810" s="10">
        <v>63.5</v>
      </c>
      <c r="B810" s="10">
        <v>8</v>
      </c>
      <c r="C810" s="10" t="s">
        <v>26</v>
      </c>
      <c r="D810" s="10" t="s">
        <v>1</v>
      </c>
      <c r="E810" s="15">
        <f>5.13-0.119-0.008-0.248-0.13-0.122-0.022-0.115-2.75-0.007-0.005-0.125-0.248-0.128-0.048-0.075-0.041-0.127-0.013-0.25-0.005-0.036-0.008-0.123-0.085-0.039-0.013-0.036-0.003-0.004-0.004-0.013-0.008-0.228+0.35-0.127-0.06</f>
        <v>0.1069999999999996</v>
      </c>
    </row>
    <row r="811" spans="1:5" x14ac:dyDescent="0.3">
      <c r="A811" s="10">
        <v>63.5</v>
      </c>
      <c r="B811" s="10">
        <v>8</v>
      </c>
      <c r="C811" s="10">
        <v>35</v>
      </c>
      <c r="D811" s="10" t="s">
        <v>1</v>
      </c>
      <c r="E811" s="15">
        <f>5.28-0.11-0.345-0.013-0.036-0.404-0.02-0.036-0.165-0.015-0.025-0.073-0.229-0.025-0.227-0.092-0.229-0.114-0.071-0.155</f>
        <v>2.8960000000000012</v>
      </c>
    </row>
    <row r="812" spans="1:5" x14ac:dyDescent="0.3">
      <c r="A812" s="10">
        <v>63.5</v>
      </c>
      <c r="B812" s="10">
        <v>8</v>
      </c>
      <c r="C812" s="10" t="s">
        <v>30</v>
      </c>
      <c r="D812" s="10" t="s">
        <v>1</v>
      </c>
      <c r="E812" s="15">
        <f>5.085-0.229-0.025-0.036-0.24-0.025-0.007-0.025-0.013-0.013</f>
        <v>4.4719999999999995</v>
      </c>
    </row>
    <row r="813" spans="1:5" x14ac:dyDescent="0.3">
      <c r="A813" s="8">
        <v>63.5</v>
      </c>
      <c r="B813" s="8">
        <v>8</v>
      </c>
      <c r="C813" s="8" t="s">
        <v>197</v>
      </c>
      <c r="D813" s="8" t="s">
        <v>198</v>
      </c>
      <c r="E813" s="9">
        <v>5.16</v>
      </c>
    </row>
    <row r="814" spans="1:5" x14ac:dyDescent="0.3">
      <c r="A814" s="8">
        <v>63.5</v>
      </c>
      <c r="B814" s="8">
        <v>9</v>
      </c>
      <c r="C814" s="8">
        <v>45</v>
      </c>
      <c r="D814" s="8" t="s">
        <v>1</v>
      </c>
      <c r="E814" s="9">
        <v>5</v>
      </c>
    </row>
    <row r="815" spans="1:5" x14ac:dyDescent="0.3">
      <c r="A815" s="8">
        <v>63.5</v>
      </c>
      <c r="B815" s="8">
        <v>10</v>
      </c>
      <c r="C815" s="8">
        <v>20</v>
      </c>
      <c r="D815" s="8" t="s">
        <v>1</v>
      </c>
      <c r="E815" s="9">
        <f>2.961-0.292-0.042-0.105-0.05-0.097-0.042-0.015-0.092-0.292-0.091-0.057-0.042</f>
        <v>1.7440000000000004</v>
      </c>
    </row>
    <row r="816" spans="1:5" x14ac:dyDescent="0.3">
      <c r="A816" s="8">
        <v>63.5</v>
      </c>
      <c r="B816" s="8">
        <v>10</v>
      </c>
      <c r="C816" s="8">
        <v>20</v>
      </c>
      <c r="D816" s="8" t="s">
        <v>1</v>
      </c>
      <c r="E816" s="9">
        <v>5</v>
      </c>
    </row>
    <row r="817" spans="1:5" x14ac:dyDescent="0.3">
      <c r="A817" s="10">
        <v>63.5</v>
      </c>
      <c r="B817" s="10">
        <v>10</v>
      </c>
      <c r="C817" s="10" t="s">
        <v>26</v>
      </c>
      <c r="D817" s="10" t="s">
        <v>1</v>
      </c>
      <c r="E817" s="15">
        <f>5.37-0.024-0.075-0.101-0.047-0.1-0.056-0.208-0.007-0.009-0.55-0.45-0.019-0.015-0.04-0.098-0.52-0.008-0.022-0.097+0.095-0.007-0.056-0.028-0.021-0.101-0.2-0.1-0.295-0.196-0.026-0.199-0.03-0.014-0.005-0.197-0.023-0.1-0.005-0.051-0.188-0.022-0.101-0.39-0.077-0.425+0.358-0.097-0.004-0.015-0.042-0.369+0.04-0.033+0.006</f>
        <v>6.0000000000002707E-3</v>
      </c>
    </row>
    <row r="818" spans="1:5" x14ac:dyDescent="0.3">
      <c r="A818" s="10">
        <v>63.5</v>
      </c>
      <c r="B818" s="10">
        <v>10</v>
      </c>
      <c r="C818" s="10" t="s">
        <v>26</v>
      </c>
      <c r="D818" s="10" t="s">
        <v>64</v>
      </c>
      <c r="E818" s="15">
        <f>5.29-0.127</f>
        <v>5.1630000000000003</v>
      </c>
    </row>
    <row r="819" spans="1:5" x14ac:dyDescent="0.3">
      <c r="A819" s="10">
        <v>63.5</v>
      </c>
      <c r="B819" s="10">
        <v>10</v>
      </c>
      <c r="C819" s="10" t="s">
        <v>37</v>
      </c>
      <c r="D819" s="10" t="s">
        <v>150</v>
      </c>
      <c r="E819" s="15">
        <f>3.218-0.129-0.248-0.037-0.129-0.13-0.005-0.347</f>
        <v>2.1930000000000005</v>
      </c>
    </row>
    <row r="820" spans="1:5" x14ac:dyDescent="0.3">
      <c r="A820" s="10">
        <v>63.5</v>
      </c>
      <c r="B820" s="10">
        <v>10</v>
      </c>
      <c r="C820" s="10" t="s">
        <v>28</v>
      </c>
      <c r="D820" s="10" t="s">
        <v>1</v>
      </c>
      <c r="E820" s="15">
        <f>5.87-0.283-0.14-0.033-0.058-0.142-0.45-0.135-0.141-0.043</f>
        <v>4.4449999999999994</v>
      </c>
    </row>
    <row r="821" spans="1:5" x14ac:dyDescent="0.3">
      <c r="A821" s="8">
        <v>63.5</v>
      </c>
      <c r="B821" s="8">
        <v>12</v>
      </c>
      <c r="C821" s="8">
        <v>20</v>
      </c>
      <c r="D821" s="8" t="s">
        <v>1</v>
      </c>
      <c r="E821" s="9">
        <v>5</v>
      </c>
    </row>
    <row r="822" spans="1:5" x14ac:dyDescent="0.3">
      <c r="A822" s="8">
        <v>63.5</v>
      </c>
      <c r="B822" s="8">
        <v>12</v>
      </c>
      <c r="C822" s="8" t="s">
        <v>26</v>
      </c>
      <c r="D822" s="8" t="s">
        <v>64</v>
      </c>
      <c r="E822" s="9">
        <f>5.43-0.016-0.211-0.026-0.049-0.364</f>
        <v>4.7639999999999993</v>
      </c>
    </row>
    <row r="823" spans="1:5" x14ac:dyDescent="0.3">
      <c r="A823" s="10">
        <v>63.5</v>
      </c>
      <c r="B823" s="10">
        <v>12</v>
      </c>
      <c r="C823" s="10">
        <v>45</v>
      </c>
      <c r="D823" s="10" t="s">
        <v>1</v>
      </c>
      <c r="E823" s="15">
        <f>0.158+3.24-0.05-0.89-0.05-0.45-0.955-0.328-0.05-0.112-0.164-0.05-0.021-0.018-0.083</f>
        <v>0.17700000000000038</v>
      </c>
    </row>
    <row r="824" spans="1:5" x14ac:dyDescent="0.3">
      <c r="A824" s="8">
        <v>63.5</v>
      </c>
      <c r="B824" s="8">
        <v>12</v>
      </c>
      <c r="C824" s="8">
        <v>45</v>
      </c>
      <c r="D824" s="8" t="s">
        <v>1</v>
      </c>
      <c r="E824" s="9">
        <v>5</v>
      </c>
    </row>
    <row r="825" spans="1:5" x14ac:dyDescent="0.3">
      <c r="A825" s="10">
        <v>63.5</v>
      </c>
      <c r="B825" s="10">
        <v>12</v>
      </c>
      <c r="C825" s="10" t="s">
        <v>30</v>
      </c>
      <c r="D825" s="10" t="s">
        <v>1</v>
      </c>
      <c r="E825" s="15">
        <f>1.838+2.775-0.011</f>
        <v>4.6019999999999994</v>
      </c>
    </row>
    <row r="826" spans="1:5" x14ac:dyDescent="0.3">
      <c r="A826" s="10">
        <v>63.5</v>
      </c>
      <c r="B826" s="10">
        <v>12.5</v>
      </c>
      <c r="C826" s="10" t="s">
        <v>21</v>
      </c>
      <c r="D826" s="10" t="s">
        <v>64</v>
      </c>
      <c r="E826" s="15">
        <f>1.25+0.065-0.059-0.185+0.148-0.194-0.031-0.097-0.371</f>
        <v>0.52599999999999991</v>
      </c>
    </row>
    <row r="827" spans="1:5" x14ac:dyDescent="0.3">
      <c r="A827" s="8">
        <v>63.5</v>
      </c>
      <c r="B827" s="8">
        <v>14</v>
      </c>
      <c r="C827" s="8">
        <v>20</v>
      </c>
      <c r="D827" s="8" t="s">
        <v>1</v>
      </c>
      <c r="E827" s="9">
        <v>5</v>
      </c>
    </row>
    <row r="828" spans="1:5" x14ac:dyDescent="0.3">
      <c r="A828" s="10">
        <v>63.5</v>
      </c>
      <c r="B828" s="10">
        <v>14</v>
      </c>
      <c r="C828" s="10" t="s">
        <v>28</v>
      </c>
      <c r="D828" s="10" t="s">
        <v>1</v>
      </c>
      <c r="E828" s="15">
        <f>4.76-0.037-1.28-0.072-0.454-0.023-0.054-0.16-0.38-0.15-0.15-0.134-0.084-0.019-0.15-0.093-0.107-0.131-0.419-0.024-0.54-0.022-0.148-0.277+0.151</f>
        <v>2.9999999999996696E-3</v>
      </c>
    </row>
    <row r="829" spans="1:5" x14ac:dyDescent="0.3">
      <c r="A829" s="10">
        <v>63.5</v>
      </c>
      <c r="B829" s="10">
        <v>14</v>
      </c>
      <c r="C829" s="10" t="s">
        <v>28</v>
      </c>
      <c r="D829" s="10" t="s">
        <v>1</v>
      </c>
      <c r="E829" s="15">
        <f>5.02-0.179-0.036-1.91-0.89-0.142+4.81-0.54-0.65-0.017-0.167-0.015-0.044-0.181-0.037-0.031-0.054-0.044+4.31-0.181-0.071-0.359-0.044</f>
        <v>8.548</v>
      </c>
    </row>
    <row r="830" spans="1:5" x14ac:dyDescent="0.3">
      <c r="A830" s="8">
        <v>63.5</v>
      </c>
      <c r="B830" s="8">
        <v>16</v>
      </c>
      <c r="C830" s="8">
        <v>20</v>
      </c>
      <c r="D830" s="8" t="s">
        <v>1</v>
      </c>
      <c r="E830" s="9">
        <v>5</v>
      </c>
    </row>
    <row r="831" spans="1:5" x14ac:dyDescent="0.3">
      <c r="A831" s="10">
        <v>63.5</v>
      </c>
      <c r="B831" s="10">
        <v>16</v>
      </c>
      <c r="C831" s="10" t="s">
        <v>26</v>
      </c>
      <c r="D831" s="10" t="s">
        <v>64</v>
      </c>
      <c r="E831" s="15">
        <f>3.295-0.304-1.09-0.2-0.199-0.039-0.041-0.594-0.102-0.1-0.03-0.011-0.585+0.08-0.028-0.038</f>
        <v>1.4000000000000228E-2</v>
      </c>
    </row>
    <row r="832" spans="1:5" x14ac:dyDescent="0.3">
      <c r="A832" s="10">
        <v>63.5</v>
      </c>
      <c r="B832" s="10">
        <v>16</v>
      </c>
      <c r="C832" s="10" t="s">
        <v>26</v>
      </c>
      <c r="D832" s="10" t="s">
        <v>64</v>
      </c>
      <c r="E832" s="15">
        <f>0.585-0.376+0.038-0.032-0.1-0.034-0.021</f>
        <v>5.9999999999999956E-2</v>
      </c>
    </row>
    <row r="833" spans="1:5" x14ac:dyDescent="0.3">
      <c r="A833" s="10">
        <v>63.5</v>
      </c>
      <c r="B833" s="10">
        <v>16</v>
      </c>
      <c r="C833" s="10" t="s">
        <v>26</v>
      </c>
      <c r="D833" s="10" t="s">
        <v>64</v>
      </c>
      <c r="E833" s="15">
        <f>3.176-0.04-0.04+1.925-0.095</f>
        <v>4.9260000000000002</v>
      </c>
    </row>
    <row r="834" spans="1:5" x14ac:dyDescent="0.3">
      <c r="A834" s="10">
        <v>63.5</v>
      </c>
      <c r="B834" s="10">
        <v>16</v>
      </c>
      <c r="C834" s="10">
        <v>45</v>
      </c>
      <c r="D834" s="10" t="s">
        <v>1</v>
      </c>
      <c r="E834" s="15">
        <f>3.184-0.03-0.1-0.097-0.055+0.008-0.1-0.395-0.011-0.003-0.149</f>
        <v>2.2519999999999998</v>
      </c>
    </row>
    <row r="835" spans="1:5" x14ac:dyDescent="0.3">
      <c r="A835" s="10">
        <v>63.5</v>
      </c>
      <c r="B835" s="10">
        <v>20</v>
      </c>
      <c r="C835" s="10">
        <v>20</v>
      </c>
      <c r="D835" s="10" t="s">
        <v>1</v>
      </c>
      <c r="E835" s="15">
        <f>4.57+0.325-0.113-0.553-0.111-0.045-0.008-0.046-0.112-0.027-0.189</f>
        <v>3.6909999999999998</v>
      </c>
    </row>
    <row r="836" spans="1:5" x14ac:dyDescent="0.3">
      <c r="A836" s="8">
        <v>64</v>
      </c>
      <c r="B836" s="8">
        <v>8</v>
      </c>
      <c r="C836" s="8" t="s">
        <v>30</v>
      </c>
      <c r="D836" s="8" t="s">
        <v>1</v>
      </c>
      <c r="E836" s="9">
        <v>5</v>
      </c>
    </row>
    <row r="837" spans="1:5" x14ac:dyDescent="0.3">
      <c r="A837" s="8">
        <v>64</v>
      </c>
      <c r="B837" s="8">
        <v>12</v>
      </c>
      <c r="C837" s="8" t="s">
        <v>30</v>
      </c>
      <c r="D837" s="8" t="s">
        <v>1</v>
      </c>
      <c r="E837" s="9">
        <v>5</v>
      </c>
    </row>
    <row r="838" spans="1:5" x14ac:dyDescent="0.3">
      <c r="A838" s="10">
        <v>65</v>
      </c>
      <c r="B838" s="10">
        <v>3.5</v>
      </c>
      <c r="C838" s="10">
        <v>20</v>
      </c>
      <c r="D838" s="10" t="s">
        <v>4</v>
      </c>
      <c r="E838" s="15">
        <f>0.73-0.12-0.042-0.002+0.025-0.012-0.012-0.145-0.012-0.07-0.037-0.007-0.021-0.018-0.007-0.073-0.004-0.07-0.013-0.002-0.009-0.058-0.042+0.025</f>
        <v>3.9999999999998717E-3</v>
      </c>
    </row>
    <row r="839" spans="1:5" x14ac:dyDescent="0.3">
      <c r="A839" s="8">
        <v>65</v>
      </c>
      <c r="B839" s="8">
        <v>4</v>
      </c>
      <c r="C839" s="8">
        <v>20</v>
      </c>
      <c r="D839" s="8" t="s">
        <v>1</v>
      </c>
      <c r="E839" s="9">
        <v>5</v>
      </c>
    </row>
    <row r="840" spans="1:5" x14ac:dyDescent="0.3">
      <c r="A840" s="10">
        <v>65</v>
      </c>
      <c r="B840" s="10">
        <v>4</v>
      </c>
      <c r="C840" s="10" t="s">
        <v>26</v>
      </c>
      <c r="D840" s="10" t="s">
        <v>64</v>
      </c>
      <c r="E840" s="15">
        <v>5</v>
      </c>
    </row>
    <row r="841" spans="1:5" x14ac:dyDescent="0.3">
      <c r="A841" s="8">
        <v>65</v>
      </c>
      <c r="B841" s="8">
        <v>5</v>
      </c>
      <c r="C841" s="8">
        <v>20</v>
      </c>
      <c r="D841" s="8" t="s">
        <v>1</v>
      </c>
      <c r="E841" s="9">
        <v>5</v>
      </c>
    </row>
    <row r="842" spans="1:5" x14ac:dyDescent="0.3">
      <c r="A842" s="8">
        <v>65</v>
      </c>
      <c r="B842" s="8">
        <v>5</v>
      </c>
      <c r="C842" s="8">
        <v>45</v>
      </c>
      <c r="D842" s="8" t="s">
        <v>1</v>
      </c>
      <c r="E842" s="9">
        <v>5</v>
      </c>
    </row>
    <row r="843" spans="1:5" x14ac:dyDescent="0.3">
      <c r="A843" s="10">
        <v>65</v>
      </c>
      <c r="B843" s="10">
        <v>6</v>
      </c>
      <c r="C843" s="10" t="s">
        <v>26</v>
      </c>
      <c r="D843" s="10" t="s">
        <v>64</v>
      </c>
      <c r="E843" s="15">
        <f>4.996-0.003-0.01-0.019-0.142-0.37-0.152-0.072-0.739-1.36-0.017-0.028-0.3-0.064-0.007-0.038-0.002-0.028-0.024-0.028</f>
        <v>1.5929999999999995</v>
      </c>
    </row>
    <row r="844" spans="1:5" x14ac:dyDescent="0.3">
      <c r="A844" s="10">
        <v>65</v>
      </c>
      <c r="B844" s="10">
        <v>6</v>
      </c>
      <c r="C844" s="10" t="s">
        <v>28</v>
      </c>
      <c r="D844" s="10" t="s">
        <v>4</v>
      </c>
      <c r="E844" s="15">
        <f>5.53-0.437-0.61-0.113-0.263-0.176-0.82-0.33-0.33-0.033</f>
        <v>2.4179999999999993</v>
      </c>
    </row>
    <row r="845" spans="1:5" x14ac:dyDescent="0.3">
      <c r="A845" s="8">
        <v>65</v>
      </c>
      <c r="B845" s="8">
        <v>6</v>
      </c>
      <c r="C845" s="8" t="s">
        <v>30</v>
      </c>
      <c r="D845" s="8" t="s">
        <v>1</v>
      </c>
      <c r="E845" s="9">
        <v>5</v>
      </c>
    </row>
    <row r="846" spans="1:5" x14ac:dyDescent="0.3">
      <c r="A846" s="8">
        <v>65</v>
      </c>
      <c r="B846" s="8">
        <v>8</v>
      </c>
      <c r="C846" s="8">
        <v>20</v>
      </c>
      <c r="D846" s="8" t="s">
        <v>1</v>
      </c>
      <c r="E846" s="9">
        <v>5</v>
      </c>
    </row>
    <row r="847" spans="1:5" x14ac:dyDescent="0.3">
      <c r="A847" s="10">
        <v>65</v>
      </c>
      <c r="B847" s="10">
        <v>8</v>
      </c>
      <c r="C847" s="10" t="s">
        <v>26</v>
      </c>
      <c r="D847" s="10" t="s">
        <v>64</v>
      </c>
      <c r="E847" s="15">
        <v>5.0149999999999997</v>
      </c>
    </row>
    <row r="848" spans="1:5" x14ac:dyDescent="0.3">
      <c r="A848" s="10">
        <v>65</v>
      </c>
      <c r="B848" s="10">
        <v>8</v>
      </c>
      <c r="C848" s="10">
        <v>45</v>
      </c>
      <c r="D848" s="10" t="s">
        <v>4</v>
      </c>
      <c r="E848" s="15">
        <f>2.18+1.04-0.325-0.018</f>
        <v>2.8770000000000002</v>
      </c>
    </row>
    <row r="849" spans="1:5" x14ac:dyDescent="0.3">
      <c r="A849" s="8">
        <v>65</v>
      </c>
      <c r="B849" s="8">
        <v>8</v>
      </c>
      <c r="C849" s="8">
        <v>45</v>
      </c>
      <c r="D849" s="8" t="s">
        <v>1</v>
      </c>
      <c r="E849" s="9">
        <v>5</v>
      </c>
    </row>
    <row r="850" spans="1:5" x14ac:dyDescent="0.3">
      <c r="A850" s="8">
        <v>65</v>
      </c>
      <c r="B850" s="8">
        <v>10</v>
      </c>
      <c r="C850" s="8">
        <v>20</v>
      </c>
      <c r="D850" s="8" t="s">
        <v>1</v>
      </c>
      <c r="E850" s="9">
        <v>5</v>
      </c>
    </row>
    <row r="851" spans="1:5" x14ac:dyDescent="0.3">
      <c r="A851" s="10">
        <v>65</v>
      </c>
      <c r="B851" s="10">
        <v>10</v>
      </c>
      <c r="C851" s="10" t="s">
        <v>26</v>
      </c>
      <c r="D851" s="10" t="s">
        <v>64</v>
      </c>
      <c r="E851" s="15">
        <f>4.595-0.11</f>
        <v>4.4849999999999994</v>
      </c>
    </row>
    <row r="852" spans="1:5" x14ac:dyDescent="0.3">
      <c r="A852" s="8">
        <v>65</v>
      </c>
      <c r="B852" s="8">
        <v>12</v>
      </c>
      <c r="C852" s="8">
        <v>20</v>
      </c>
      <c r="D852" s="8" t="s">
        <v>1</v>
      </c>
      <c r="E852" s="9">
        <v>8</v>
      </c>
    </row>
    <row r="853" spans="1:5" x14ac:dyDescent="0.3">
      <c r="A853" s="10">
        <v>65</v>
      </c>
      <c r="B853" s="10">
        <v>12</v>
      </c>
      <c r="C853" s="10">
        <v>45</v>
      </c>
      <c r="D853" s="10" t="s">
        <v>1</v>
      </c>
      <c r="E853" s="15">
        <f>4.36-0.329-0.05-0.111-0.162-0.126-0.017-0.163-0.098-0.16-0.095-0.125-0.151-0.06-0.098-0.155-0.26-0.058-0.018-0.157-0.348-0.026-0.021-0.05-0.128-0.303</f>
        <v>1.0910000000000015</v>
      </c>
    </row>
    <row r="854" spans="1:5" x14ac:dyDescent="0.3">
      <c r="A854" s="10">
        <v>65</v>
      </c>
      <c r="B854" s="10">
        <v>12</v>
      </c>
      <c r="C854" s="10" t="s">
        <v>28</v>
      </c>
      <c r="D854" s="10" t="s">
        <v>1</v>
      </c>
      <c r="E854" s="15">
        <f>4.35-0.175-0.098-0.34-0.49-0.07-0.66-0.169-0.331-0.034-0.483-0.066-0.064-0.337-0.057-0.074-0.169</f>
        <v>0.73299999999999987</v>
      </c>
    </row>
    <row r="855" spans="1:5" x14ac:dyDescent="0.3">
      <c r="A855" s="10">
        <v>65</v>
      </c>
      <c r="B855" s="10">
        <v>12</v>
      </c>
      <c r="C855" s="10" t="s">
        <v>30</v>
      </c>
      <c r="D855" s="10" t="s">
        <v>1</v>
      </c>
      <c r="E855" s="15">
        <f>5.215-0.104-0.025-0.05-0.173-0.118-0.168-0.017-0.029-4.38</f>
        <v>0.15099999999999891</v>
      </c>
    </row>
    <row r="856" spans="1:5" x14ac:dyDescent="0.3">
      <c r="A856" s="10">
        <v>65</v>
      </c>
      <c r="B856" s="10">
        <v>12</v>
      </c>
      <c r="C856" s="10" t="s">
        <v>30</v>
      </c>
      <c r="D856" s="10" t="s">
        <v>1</v>
      </c>
      <c r="E856" s="15">
        <f>4.38-0.329-0.171-0.331-0.173-0.173-0.173-0.167-0.166-0.169-0.042-0.155-0.017-0.021-0.338-0.018-0.01-0.034-0.34</f>
        <v>1.5530000000000008</v>
      </c>
    </row>
    <row r="857" spans="1:5" x14ac:dyDescent="0.3">
      <c r="A857" s="10">
        <v>65</v>
      </c>
      <c r="B857" s="10">
        <v>16</v>
      </c>
      <c r="C857" s="10" t="s">
        <v>26</v>
      </c>
      <c r="D857" s="10" t="s">
        <v>64</v>
      </c>
      <c r="E857" s="15">
        <f>3.275-0.492-0.201-0.094+0.157-0.021-0.1-0.042-0.197-0.061-0.013-0.011-0.139-0.031-0.016</f>
        <v>2.0139999999999998</v>
      </c>
    </row>
    <row r="858" spans="1:5" x14ac:dyDescent="0.3">
      <c r="A858" s="10">
        <v>68</v>
      </c>
      <c r="B858" s="10">
        <v>3</v>
      </c>
      <c r="C858" s="10">
        <v>20</v>
      </c>
      <c r="D858" s="10" t="s">
        <v>1</v>
      </c>
      <c r="E858" s="15">
        <v>7.0000000000000001E-3</v>
      </c>
    </row>
    <row r="859" spans="1:5" x14ac:dyDescent="0.3">
      <c r="A859" s="10">
        <v>68</v>
      </c>
      <c r="B859" s="10">
        <v>3</v>
      </c>
      <c r="C859" s="10" t="s">
        <v>21</v>
      </c>
      <c r="D859" s="10" t="s">
        <v>1</v>
      </c>
      <c r="E859" s="15">
        <v>0.04</v>
      </c>
    </row>
    <row r="860" spans="1:5" x14ac:dyDescent="0.3">
      <c r="A860" s="10">
        <v>68</v>
      </c>
      <c r="B860" s="10">
        <v>4</v>
      </c>
      <c r="C860" s="10">
        <v>20</v>
      </c>
      <c r="D860" s="10" t="s">
        <v>1</v>
      </c>
      <c r="E860" s="15">
        <f>0.083-0.006-0.016-0.009-0.005-0.025-0.023+0.003</f>
        <v>1.9999999999999992E-3</v>
      </c>
    </row>
    <row r="861" spans="1:5" x14ac:dyDescent="0.3">
      <c r="A861" s="8">
        <v>68</v>
      </c>
      <c r="B861" s="8">
        <v>4</v>
      </c>
      <c r="C861" s="8">
        <v>20</v>
      </c>
      <c r="D861" s="8" t="s">
        <v>1</v>
      </c>
      <c r="E861" s="9">
        <v>3</v>
      </c>
    </row>
    <row r="862" spans="1:5" x14ac:dyDescent="0.3">
      <c r="A862" s="10">
        <v>68</v>
      </c>
      <c r="B862" s="10">
        <v>5</v>
      </c>
      <c r="C862" s="10" t="s">
        <v>26</v>
      </c>
      <c r="D862" s="10" t="s">
        <v>64</v>
      </c>
      <c r="E862" s="15">
        <f>5.639-0.215-0.024-0.069-0.05-0.005-0.072-0.019-0.019-0.009-0.139-0.62-0.008-0.1-0.145-0.143-0.073-0.005</f>
        <v>3.9240000000000008</v>
      </c>
    </row>
    <row r="863" spans="1:5" x14ac:dyDescent="0.3">
      <c r="A863" s="10">
        <v>68</v>
      </c>
      <c r="B863" s="10">
        <v>6</v>
      </c>
      <c r="C863" s="10">
        <v>20</v>
      </c>
      <c r="D863" s="10" t="s">
        <v>1</v>
      </c>
      <c r="E863" s="15">
        <f>19.978+2.946+2-0.09-0.04-0.03-0.085-2.77-0.046-21.79-0.011-0.025-0.011-0.017+0.1</f>
        <v>0.10900000000000395</v>
      </c>
    </row>
    <row r="864" spans="1:5" x14ac:dyDescent="0.3">
      <c r="A864" s="10">
        <v>68</v>
      </c>
      <c r="B864" s="10">
        <v>6</v>
      </c>
      <c r="C864" s="10">
        <v>20</v>
      </c>
      <c r="D864" s="10" t="s">
        <v>1</v>
      </c>
      <c r="E864" s="15">
        <f>2.77+21.79-0.096-0.1-0.108-0.04+0.046-0.006-0.047-0.191-0.016-0.021-0.057-0.008-0.011-0.011-0.009-0.04-0.005</f>
        <v>23.840000000000003</v>
      </c>
    </row>
    <row r="865" spans="1:5" x14ac:dyDescent="0.3">
      <c r="A865" s="8">
        <v>68</v>
      </c>
      <c r="B865" s="8">
        <v>6</v>
      </c>
      <c r="C865" s="8" t="s">
        <v>26</v>
      </c>
      <c r="D865" s="8" t="s">
        <v>1</v>
      </c>
      <c r="E865" s="9">
        <f>4.91-0.285-0.003-1.04-0.021-0.016-0.03-0.03-0.011-0.021-0.19-0.006-0.094-2.34-0.006-0.03-0.005-0.202-0.021-0.03-0.094-0.046-0.005-0.091-0.03-0.011-0.095-0.004</f>
        <v>0.15300000000000066</v>
      </c>
    </row>
    <row r="866" spans="1:5" x14ac:dyDescent="0.3">
      <c r="A866" s="10">
        <v>68</v>
      </c>
      <c r="B866" s="10">
        <v>6</v>
      </c>
      <c r="C866" s="10" t="s">
        <v>30</v>
      </c>
      <c r="D866" s="10" t="s">
        <v>1</v>
      </c>
      <c r="E866" s="15">
        <f>5.305-0.021</f>
        <v>5.2839999999999998</v>
      </c>
    </row>
    <row r="867" spans="1:5" x14ac:dyDescent="0.3">
      <c r="A867" s="8">
        <v>68</v>
      </c>
      <c r="B867" s="8">
        <v>8</v>
      </c>
      <c r="C867" s="8">
        <v>20</v>
      </c>
      <c r="D867" s="8" t="s">
        <v>1</v>
      </c>
      <c r="E867" s="9">
        <v>5</v>
      </c>
    </row>
    <row r="868" spans="1:5" x14ac:dyDescent="0.3">
      <c r="A868" s="10">
        <v>68</v>
      </c>
      <c r="B868" s="10">
        <v>8</v>
      </c>
      <c r="C868" s="10" t="s">
        <v>26</v>
      </c>
      <c r="D868" s="10" t="s">
        <v>64</v>
      </c>
      <c r="E868" s="15">
        <f>4.71-0.045-0.034-0.032-0.005-0.014</f>
        <v>4.58</v>
      </c>
    </row>
    <row r="869" spans="1:5" x14ac:dyDescent="0.3">
      <c r="A869" s="8">
        <v>68</v>
      </c>
      <c r="B869" s="8">
        <v>10</v>
      </c>
      <c r="C869" s="8">
        <v>20</v>
      </c>
      <c r="D869" s="8" t="s">
        <v>1</v>
      </c>
      <c r="E869" s="9">
        <v>5</v>
      </c>
    </row>
    <row r="870" spans="1:5" x14ac:dyDescent="0.3">
      <c r="A870" s="8">
        <v>68</v>
      </c>
      <c r="B870" s="8">
        <v>12</v>
      </c>
      <c r="C870" s="8">
        <v>20</v>
      </c>
      <c r="D870" s="8" t="s">
        <v>1</v>
      </c>
      <c r="E870" s="9">
        <v>5</v>
      </c>
    </row>
    <row r="871" spans="1:5" x14ac:dyDescent="0.3">
      <c r="A871" s="10">
        <v>68</v>
      </c>
      <c r="B871" s="10">
        <v>12</v>
      </c>
      <c r="C871" s="10" t="s">
        <v>26</v>
      </c>
      <c r="D871" s="10" t="s">
        <v>64</v>
      </c>
      <c r="E871" s="15">
        <f>5.41-0.24-0.006-0.02-0.03-0.02-0.161-0.12-0.363-0.061-0.11-0.121-0.12-0.117-0.12-0.029-0.035-0.124-0.407-0.01-0.126-0.124-0.236-0.244-0.018-0.037-0.004-0.08-0.012-0.116-0.02-0.229+0.116-0.095-0.035-0.126-0.239-0.125-0.47-0.016-0.114-0.338-0.019-0.005-0.005-0.026-0.041-0.226-0.11-0.043-0.058+0.254-0.115-0.061-0.052+0.001</f>
        <v>2.0000000000015344E-3</v>
      </c>
    </row>
    <row r="872" spans="1:5" x14ac:dyDescent="0.3">
      <c r="A872" s="10">
        <v>68</v>
      </c>
      <c r="B872" s="10">
        <v>12</v>
      </c>
      <c r="C872" s="10" t="s">
        <v>26</v>
      </c>
      <c r="D872" s="10" t="s">
        <v>64</v>
      </c>
      <c r="E872" s="15">
        <f>9.035+1.02-0.088-0.165-0.053-0.012-0.011-0.036-0.036-0.025-0.053-0.319-0.036-0.625-0.491-0.019-0.021-0.097-0.037-0.097-0.037-0.007-0.036-0.324-0.162-0.17-0.013-0.485</f>
        <v>6.6</v>
      </c>
    </row>
    <row r="873" spans="1:5" x14ac:dyDescent="0.3">
      <c r="A873" s="8">
        <v>68</v>
      </c>
      <c r="B873" s="8">
        <v>12</v>
      </c>
      <c r="C873" s="8">
        <v>45</v>
      </c>
      <c r="D873" s="8" t="s">
        <v>1</v>
      </c>
      <c r="E873" s="9">
        <v>5</v>
      </c>
    </row>
    <row r="874" spans="1:5" x14ac:dyDescent="0.3">
      <c r="A874" s="10">
        <v>68</v>
      </c>
      <c r="B874" s="10">
        <v>12</v>
      </c>
      <c r="C874" s="10" t="s">
        <v>28</v>
      </c>
      <c r="D874" s="10" t="s">
        <v>1</v>
      </c>
      <c r="E874" s="15">
        <f>0.33+9.255-0.175-0.041-0.13-0.077</f>
        <v>9.161999999999999</v>
      </c>
    </row>
    <row r="875" spans="1:5" x14ac:dyDescent="0.3">
      <c r="A875" s="10">
        <v>68</v>
      </c>
      <c r="B875" s="10">
        <v>12</v>
      </c>
      <c r="C875" s="10" t="s">
        <v>95</v>
      </c>
      <c r="D875" s="10" t="s">
        <v>1</v>
      </c>
      <c r="E875" s="15">
        <f>5.21-0.475-0.053-0.085</f>
        <v>4.5970000000000004</v>
      </c>
    </row>
    <row r="876" spans="1:5" x14ac:dyDescent="0.3">
      <c r="A876" s="10">
        <v>68</v>
      </c>
      <c r="B876" s="10">
        <v>12</v>
      </c>
      <c r="C876" s="10" t="s">
        <v>30</v>
      </c>
      <c r="D876" s="10" t="s">
        <v>1</v>
      </c>
      <c r="E876" s="15">
        <f>2.615+2.8</f>
        <v>5.415</v>
      </c>
    </row>
    <row r="877" spans="1:5" x14ac:dyDescent="0.3">
      <c r="A877" s="10">
        <v>68</v>
      </c>
      <c r="B877" s="10">
        <v>14</v>
      </c>
      <c r="C877" s="10">
        <v>20</v>
      </c>
      <c r="D877" s="10" t="s">
        <v>1</v>
      </c>
      <c r="E877" s="15">
        <f>4.75+0.15+0.16+0.884+0.07-0.107-0.056-0.059+0.108-0.049-0.06-0.06-0.012-0.117-0.092-0.022-0.009-0.021-0.009-0.021-0.04-0.059-0.8-0.049-0.006-0.027</f>
        <v>4.4470000000000001</v>
      </c>
    </row>
    <row r="878" spans="1:5" x14ac:dyDescent="0.3">
      <c r="A878" s="10">
        <v>68</v>
      </c>
      <c r="B878" s="10">
        <v>14</v>
      </c>
      <c r="C878" s="10" t="s">
        <v>26</v>
      </c>
      <c r="D878" s="10" t="s">
        <v>64</v>
      </c>
      <c r="E878" s="15">
        <f>2.855+2.35-0.128-0.03-0.242-0.08-0.453-0.12-0.027-0.226-0.039-0.02-0.112-0.021-0.25-0.01-0.377-0.049-0.03-0.048-0.146-0.011-0.015-0.028-0.021-0.257-1.06-1.575+0.195-0.005</f>
        <v>1.9999999999999411E-2</v>
      </c>
    </row>
    <row r="879" spans="1:5" x14ac:dyDescent="0.3">
      <c r="A879" s="8">
        <v>68</v>
      </c>
      <c r="B879" s="8">
        <v>14</v>
      </c>
      <c r="C879" s="8" t="s">
        <v>26</v>
      </c>
      <c r="D879" s="8" t="s">
        <v>64</v>
      </c>
      <c r="E879" s="9">
        <f>2.15-0.178-0.059+3.14-0.116-0.039-0.01-0.178-0.076-0.59-0.069-0.179-0.707-0.178-0.176-0.024-0.083-0.04-0.01</f>
        <v>2.5780000000000016</v>
      </c>
    </row>
    <row r="880" spans="1:5" x14ac:dyDescent="0.3">
      <c r="A880" s="10">
        <v>68</v>
      </c>
      <c r="B880" s="10">
        <v>14</v>
      </c>
      <c r="C880" s="10" t="s">
        <v>21</v>
      </c>
      <c r="D880" s="10" t="s">
        <v>1</v>
      </c>
      <c r="E880" s="15">
        <v>8.5000000000000006E-2</v>
      </c>
    </row>
    <row r="881" spans="1:5" x14ac:dyDescent="0.3">
      <c r="A881" s="8">
        <v>68</v>
      </c>
      <c r="B881" s="8">
        <v>14</v>
      </c>
      <c r="C881" s="8">
        <v>45</v>
      </c>
      <c r="D881" s="8" t="s">
        <v>1</v>
      </c>
      <c r="E881" s="9">
        <f>9.855-0.17-0.518-0.107-0.504-0.17-0.18-0.174-2.904-0.105-0.02-0.18-0.082-0.177-0.175-0.059-0.012-0.071-0.115-0.021-0.121-0.08-0.04-0.352</f>
        <v>3.5180000000000033</v>
      </c>
    </row>
    <row r="882" spans="1:5" x14ac:dyDescent="0.3">
      <c r="A882" s="10">
        <v>68</v>
      </c>
      <c r="B882" s="10">
        <v>14</v>
      </c>
      <c r="C882" s="10" t="s">
        <v>28</v>
      </c>
      <c r="D882" s="10" t="s">
        <v>1</v>
      </c>
      <c r="E882" s="15">
        <f>2.99+1.831-0.032-0.005-2.99-0.164-0.022-0.109-0.078</f>
        <v>1.4209999999999996</v>
      </c>
    </row>
    <row r="883" spans="1:5" x14ac:dyDescent="0.3">
      <c r="A883" s="10">
        <v>68</v>
      </c>
      <c r="B883" s="10">
        <v>14</v>
      </c>
      <c r="C883" s="10" t="s">
        <v>30</v>
      </c>
      <c r="D883" s="10" t="s">
        <v>1</v>
      </c>
      <c r="E883" s="15">
        <f>5.39-0.176-1.07-0.03-0.02-0.129</f>
        <v>3.9649999999999994</v>
      </c>
    </row>
    <row r="884" spans="1:5" x14ac:dyDescent="0.3">
      <c r="A884" s="8">
        <v>68</v>
      </c>
      <c r="B884" s="8">
        <v>16</v>
      </c>
      <c r="C884" s="8">
        <v>20</v>
      </c>
      <c r="D884" s="8" t="s">
        <v>1</v>
      </c>
      <c r="E884" s="9">
        <v>5</v>
      </c>
    </row>
    <row r="885" spans="1:5" x14ac:dyDescent="0.3">
      <c r="A885" s="10">
        <v>68</v>
      </c>
      <c r="B885" s="10">
        <v>16</v>
      </c>
      <c r="C885" s="10" t="s">
        <v>26</v>
      </c>
      <c r="D885" s="10" t="s">
        <v>64</v>
      </c>
      <c r="E885" s="15">
        <v>5.6970000000000001</v>
      </c>
    </row>
    <row r="886" spans="1:5" x14ac:dyDescent="0.3">
      <c r="A886" s="8">
        <v>68</v>
      </c>
      <c r="B886" s="8">
        <v>16</v>
      </c>
      <c r="C886" s="8">
        <v>45</v>
      </c>
      <c r="D886" s="8" t="s">
        <v>1</v>
      </c>
      <c r="E886" s="9">
        <v>5</v>
      </c>
    </row>
    <row r="887" spans="1:5" x14ac:dyDescent="0.3">
      <c r="A887" s="10">
        <v>68</v>
      </c>
      <c r="B887" s="10">
        <v>16</v>
      </c>
      <c r="C887" s="10" t="s">
        <v>28</v>
      </c>
      <c r="D887" s="10" t="s">
        <v>1</v>
      </c>
      <c r="E887" s="15">
        <f>2.81+2.83-0.5-0.11+2.195-0.067+0.775+2.02-0.18-0.336-2.52-0.19-2.945-0.189-0.088-0.175-0.172</f>
        <v>3.1579999999999995</v>
      </c>
    </row>
    <row r="888" spans="1:5" x14ac:dyDescent="0.3">
      <c r="A888" s="10">
        <v>68</v>
      </c>
      <c r="B888" s="10">
        <v>16</v>
      </c>
      <c r="C888" s="10" t="s">
        <v>30</v>
      </c>
      <c r="D888" s="10" t="s">
        <v>1</v>
      </c>
      <c r="E888" s="15">
        <f>4.46-0.164-0.066-1.09-0.326-0.045-0.31-0.164-0.33+6.15-0.317-0.144-0.077-0.314-1.011-0.166-0.023-0.045-1.51-0.172-0.049-0.39-0.476-0.159-0.023-0.31-0.78-0.165-0.045-0.659-1.47+0.41-0.049-0.035</f>
        <v>0.13600000000000004</v>
      </c>
    </row>
    <row r="889" spans="1:5" x14ac:dyDescent="0.3">
      <c r="A889" s="10">
        <v>68</v>
      </c>
      <c r="B889" s="10">
        <v>16</v>
      </c>
      <c r="C889" s="10" t="s">
        <v>30</v>
      </c>
      <c r="D889" s="10" t="s">
        <v>1</v>
      </c>
      <c r="E889" s="15">
        <f>0.035-0.021</f>
        <v>1.4000000000000002E-2</v>
      </c>
    </row>
    <row r="890" spans="1:5" x14ac:dyDescent="0.3">
      <c r="A890" s="10">
        <v>68</v>
      </c>
      <c r="B890" s="10">
        <v>16</v>
      </c>
      <c r="C890" s="10" t="s">
        <v>30</v>
      </c>
      <c r="D890" s="10" t="s">
        <v>1</v>
      </c>
      <c r="E890" s="15">
        <f>5.61-0.188-0.373-0.11-0.095-0.126-0.062-1.93-0.188-0.376-0.113-0.37-0.557-0.19-0.188-0.032-0.372-0.353+0.051</f>
        <v>3.7999999999999985E-2</v>
      </c>
    </row>
    <row r="891" spans="1:5" x14ac:dyDescent="0.3">
      <c r="A891" s="8">
        <v>68</v>
      </c>
      <c r="B891" s="8">
        <v>16</v>
      </c>
      <c r="C891" s="8" t="s">
        <v>30</v>
      </c>
      <c r="D891" s="8" t="s">
        <v>1</v>
      </c>
      <c r="E891" s="9">
        <v>5</v>
      </c>
    </row>
    <row r="892" spans="1:5" x14ac:dyDescent="0.3">
      <c r="A892" s="10">
        <v>68</v>
      </c>
      <c r="B892" s="10">
        <v>19</v>
      </c>
      <c r="C892" s="10" t="s">
        <v>26</v>
      </c>
      <c r="D892" s="10" t="s">
        <v>1</v>
      </c>
      <c r="E892" s="15">
        <f>5.505-0.007-0.142-0.12-0.14-0.025-0.049-0.043-0.01-0.025-0.158-0.14-0.281-0.893-0.531-2.059-0.025-0.965+0.145-0.001</f>
        <v>3.5999999999999227E-2</v>
      </c>
    </row>
    <row r="893" spans="1:5" x14ac:dyDescent="0.3">
      <c r="A893" s="10">
        <v>68</v>
      </c>
      <c r="B893" s="10">
        <v>20</v>
      </c>
      <c r="C893" s="10">
        <v>20</v>
      </c>
      <c r="D893" s="10" t="s">
        <v>1</v>
      </c>
      <c r="E893" s="15">
        <f>15.475+2.63-2.63+0.88+0.013-0.074-0.237-0.12-0.595-1.04-0.043-0.47-0.121-0.121-0.074-0.238-0.045-0.103-0.236</f>
        <v>12.851000000000003</v>
      </c>
    </row>
    <row r="894" spans="1:5" x14ac:dyDescent="0.3">
      <c r="A894" s="10">
        <v>68</v>
      </c>
      <c r="B894" s="10">
        <v>20</v>
      </c>
      <c r="C894" s="10" t="s">
        <v>26</v>
      </c>
      <c r="D894" s="10" t="s">
        <v>64</v>
      </c>
      <c r="E894" s="15">
        <f>5.65-0.113-5.56+0.123</f>
        <v>0.10000000000000031</v>
      </c>
    </row>
    <row r="895" spans="1:5" x14ac:dyDescent="0.3">
      <c r="A895" s="10">
        <v>68</v>
      </c>
      <c r="B895" s="10">
        <v>20</v>
      </c>
      <c r="C895" s="10" t="s">
        <v>26</v>
      </c>
      <c r="D895" s="10" t="s">
        <v>64</v>
      </c>
      <c r="E895" s="15">
        <f>5.56+7.3+1.265-0.115-0.054-0.246-0.026</f>
        <v>13.683999999999999</v>
      </c>
    </row>
    <row r="896" spans="1:5" x14ac:dyDescent="0.3">
      <c r="A896" s="8">
        <v>69.5</v>
      </c>
      <c r="B896" s="8">
        <v>10.7</v>
      </c>
      <c r="C896" s="13" t="s">
        <v>33</v>
      </c>
      <c r="D896" s="8" t="s">
        <v>17</v>
      </c>
      <c r="E896" s="9">
        <f>5.62-0.04-2.015-0.1-0.22-0.105-0.018+0.011-0.156-0.245-0.023</f>
        <v>2.7089999999999996</v>
      </c>
    </row>
    <row r="897" spans="1:5" x14ac:dyDescent="0.3">
      <c r="A897" s="10">
        <v>70</v>
      </c>
      <c r="B897" s="10">
        <v>2</v>
      </c>
      <c r="C897" s="10">
        <v>20</v>
      </c>
      <c r="D897" s="10" t="s">
        <v>4</v>
      </c>
      <c r="E897" s="15">
        <f>6.126-0.023-0.046+0.093+2.48-0.023-0.012-0.114-0.068-0.114-0.004-0.046-0.023-0.069-0.023-0.008-0.023-0.023-0.023-0.204-0.023-0.012-0.005-0.091-0.023-0.13-0.023-0.023-0.023-0.001-0.004-0.084-0.023-0.023-0.023-0.046-0.181-0.004-0.605-0.012-0.012-0.091-0.023-0.023-0.115-0.046-0.023-0.004-0.023-0.023</f>
        <v>6.1110000000000078</v>
      </c>
    </row>
    <row r="898" spans="1:5" x14ac:dyDescent="0.3">
      <c r="A898" s="8">
        <v>70</v>
      </c>
      <c r="B898" s="8">
        <v>3</v>
      </c>
      <c r="C898" s="8" t="s">
        <v>59</v>
      </c>
      <c r="D898" s="8" t="s">
        <v>16</v>
      </c>
      <c r="E898" s="9">
        <f>0.164-0.033-0.006-0.046-0.005-0.013-0.006</f>
        <v>5.5E-2</v>
      </c>
    </row>
    <row r="899" spans="1:5" x14ac:dyDescent="0.3">
      <c r="A899" s="8">
        <v>70</v>
      </c>
      <c r="B899" s="8">
        <v>4</v>
      </c>
      <c r="C899" s="8">
        <v>20</v>
      </c>
      <c r="D899" s="8" t="s">
        <v>1</v>
      </c>
      <c r="E899" s="9">
        <f>2.985-0.147-0.008-0.01-0.043-0.02-0.022-0.293-0.015-0.072-0.029-0.074-0.043</f>
        <v>2.2090000000000001</v>
      </c>
    </row>
    <row r="900" spans="1:5" x14ac:dyDescent="0.3">
      <c r="A900" s="10">
        <v>70</v>
      </c>
      <c r="B900" s="10">
        <v>4</v>
      </c>
      <c r="C900" s="10" t="s">
        <v>26</v>
      </c>
      <c r="D900" s="10" t="s">
        <v>64</v>
      </c>
      <c r="E900" s="15">
        <f>5.148-0.029-0.015-0.004-0.022-0.013-0.003-0.258-0.323-0.046-0.014-0.065</f>
        <v>4.355999999999999</v>
      </c>
    </row>
    <row r="901" spans="1:5" x14ac:dyDescent="0.3">
      <c r="A901" s="10">
        <v>70</v>
      </c>
      <c r="B901" s="10">
        <v>4.5</v>
      </c>
      <c r="C901" s="10" t="s">
        <v>30</v>
      </c>
      <c r="D901" s="10" t="s">
        <v>4</v>
      </c>
      <c r="E901" s="15">
        <f>4.048-0.088-0.262-0.044-0.044-0.066-0.066</f>
        <v>3.4780000000000002</v>
      </c>
    </row>
    <row r="902" spans="1:5" x14ac:dyDescent="0.3">
      <c r="A902" s="10">
        <v>70</v>
      </c>
      <c r="B902" s="10">
        <v>4.5</v>
      </c>
      <c r="C902" s="10" t="s">
        <v>151</v>
      </c>
      <c r="D902" s="10" t="s">
        <v>152</v>
      </c>
      <c r="E902" s="15">
        <v>3</v>
      </c>
    </row>
    <row r="903" spans="1:5" x14ac:dyDescent="0.3">
      <c r="A903" s="8">
        <v>70</v>
      </c>
      <c r="B903" s="8">
        <v>5</v>
      </c>
      <c r="C903" s="8">
        <v>20</v>
      </c>
      <c r="D903" s="8" t="s">
        <v>1</v>
      </c>
      <c r="E903" s="9">
        <f>0.28+2.697-0.2-0.027-0.03-0.002-0.1-0.027-0.01-0.1-0.1-0.009</f>
        <v>2.3720000000000003</v>
      </c>
    </row>
    <row r="904" spans="1:5" x14ac:dyDescent="0.3">
      <c r="A904" s="8">
        <v>70</v>
      </c>
      <c r="B904" s="8">
        <v>5</v>
      </c>
      <c r="C904" s="8">
        <v>20</v>
      </c>
      <c r="D904" s="8" t="s">
        <v>4</v>
      </c>
      <c r="E904" s="9">
        <f>0.675+0.51-0.027-0.009-0.009-0.019-0.065-0.005-0.035-0.028-0.02-0.014-0.15-0.074-0.014-0.044-0.028-0.011-0.073-0.217-0.077-0.005-0.027</f>
        <v>0.23400000000000062</v>
      </c>
    </row>
    <row r="905" spans="1:5" x14ac:dyDescent="0.3">
      <c r="A905" s="10">
        <v>70</v>
      </c>
      <c r="B905" s="10">
        <v>5</v>
      </c>
      <c r="C905" s="10" t="s">
        <v>26</v>
      </c>
      <c r="D905" s="10" t="s">
        <v>64</v>
      </c>
      <c r="E905" s="15">
        <f>5.143-0.009-0.018-0.005-0.132-0.145-0.107-0.005-0.22-0.136-0.012-0.14-0.072-0.143-0.006-0.156-0.112-0.02</f>
        <v>3.7050000000000014</v>
      </c>
    </row>
    <row r="906" spans="1:5" x14ac:dyDescent="0.3">
      <c r="A906" s="10">
        <v>70</v>
      </c>
      <c r="B906" s="10">
        <v>5.5</v>
      </c>
      <c r="C906" s="10">
        <v>45</v>
      </c>
      <c r="D906" s="10" t="s">
        <v>4</v>
      </c>
      <c r="E906" s="15">
        <f>5.39+0.038-0.024-0.015-0.146-0.006-0.004</f>
        <v>5.2330000000000005</v>
      </c>
    </row>
    <row r="907" spans="1:5" x14ac:dyDescent="0.3">
      <c r="A907" s="8">
        <v>70</v>
      </c>
      <c r="B907" s="8">
        <v>6</v>
      </c>
      <c r="C907" s="8">
        <v>20</v>
      </c>
      <c r="D907" s="8" t="s">
        <v>1</v>
      </c>
      <c r="E907" s="9">
        <v>5</v>
      </c>
    </row>
    <row r="908" spans="1:5" x14ac:dyDescent="0.3">
      <c r="A908" s="8">
        <v>70</v>
      </c>
      <c r="B908" s="8">
        <v>6</v>
      </c>
      <c r="C908" s="8" t="s">
        <v>26</v>
      </c>
      <c r="D908" s="8" t="s">
        <v>64</v>
      </c>
      <c r="E908" s="9">
        <f>7.46-0.025-0.006-0.089-0.02-0.006-0.087-0.267-0.123-0.05-0.01-0.09-0.022-0.081-0.025-0.023-0.373-0.011-0.088-0.021-4.73-0.14-0.089-0.178-0.03-0.06-0.012-0.147-0.012-0.089-0.177-0.353</f>
        <v>2.5999999999997858E-2</v>
      </c>
    </row>
    <row r="909" spans="1:5" x14ac:dyDescent="0.3">
      <c r="A909" s="8">
        <v>70</v>
      </c>
      <c r="B909" s="8">
        <v>6</v>
      </c>
      <c r="C909" s="8" t="s">
        <v>26</v>
      </c>
      <c r="D909" s="8" t="s">
        <v>64</v>
      </c>
      <c r="E909" s="9">
        <f>6.88-0.487-0.005-0.052-0.075-0.005-0.005-0.387-0.051-0.057-0.026</f>
        <v>5.73</v>
      </c>
    </row>
    <row r="910" spans="1:5" x14ac:dyDescent="0.3">
      <c r="A910" s="10">
        <v>70</v>
      </c>
      <c r="B910" s="10">
        <v>6</v>
      </c>
      <c r="C910" s="10" t="s">
        <v>28</v>
      </c>
      <c r="D910" s="10" t="s">
        <v>1</v>
      </c>
      <c r="E910" s="15">
        <f>5.5-0.1-0.021-0.495</f>
        <v>4.8840000000000003</v>
      </c>
    </row>
    <row r="911" spans="1:5" x14ac:dyDescent="0.3">
      <c r="A911" s="10">
        <v>70</v>
      </c>
      <c r="B911" s="10">
        <v>6.5</v>
      </c>
      <c r="C911" s="10">
        <v>20</v>
      </c>
      <c r="D911" s="10" t="s">
        <v>1</v>
      </c>
      <c r="E911" s="15">
        <f>2.112-0.259-0.012-0.07-0.055-0.034</f>
        <v>1.6820000000000002</v>
      </c>
    </row>
    <row r="912" spans="1:5" x14ac:dyDescent="0.3">
      <c r="A912" s="8">
        <v>70</v>
      </c>
      <c r="B912" s="8">
        <v>6.5</v>
      </c>
      <c r="C912" s="8" t="s">
        <v>37</v>
      </c>
      <c r="D912" s="8" t="s">
        <v>143</v>
      </c>
      <c r="E912" s="9">
        <v>0.26200000000000001</v>
      </c>
    </row>
    <row r="913" spans="1:5" x14ac:dyDescent="0.3">
      <c r="A913" s="10">
        <v>70</v>
      </c>
      <c r="B913" s="10">
        <v>7</v>
      </c>
      <c r="C913" s="10" t="s">
        <v>26</v>
      </c>
      <c r="D913" s="10" t="s">
        <v>1</v>
      </c>
      <c r="E913" s="15">
        <f>0.056-0.016</f>
        <v>0.04</v>
      </c>
    </row>
    <row r="914" spans="1:5" x14ac:dyDescent="0.3">
      <c r="A914" s="8">
        <v>70</v>
      </c>
      <c r="B914" s="8">
        <v>7</v>
      </c>
      <c r="C914" s="13" t="s">
        <v>30</v>
      </c>
      <c r="D914" s="8" t="s">
        <v>1</v>
      </c>
      <c r="E914" s="9">
        <f>6.13+0.47+0.08-0.017-0.056-0.075-0.329-0.512-0.043-0.037-0.012-0.147-0.006-0.074-0.037-0.045-0.25-0.21-0.095-0.02-0.07-3-0.023-0.005-1.76+0.18</f>
        <v>3.6999999999999755E-2</v>
      </c>
    </row>
    <row r="915" spans="1:5" x14ac:dyDescent="0.3">
      <c r="A915" s="8">
        <v>70</v>
      </c>
      <c r="B915" s="8">
        <v>7</v>
      </c>
      <c r="C915" s="13" t="s">
        <v>30</v>
      </c>
      <c r="D915" s="8" t="s">
        <v>1</v>
      </c>
      <c r="E915" s="9">
        <f>0.005+1.76-0.037-0.11-0.076-0.11-0.038-0.023-0.111-0.014-0.113-0.221-0.181-0.037-0.23-0.006</f>
        <v>0.45799999999999985</v>
      </c>
    </row>
    <row r="916" spans="1:5" x14ac:dyDescent="0.3">
      <c r="A916" s="8">
        <v>70</v>
      </c>
      <c r="B916" s="8">
        <v>8</v>
      </c>
      <c r="C916" s="8">
        <v>20</v>
      </c>
      <c r="D916" s="8" t="s">
        <v>1</v>
      </c>
      <c r="E916" s="9">
        <v>5</v>
      </c>
    </row>
    <row r="917" spans="1:5" x14ac:dyDescent="0.3">
      <c r="A917" s="8">
        <v>70</v>
      </c>
      <c r="B917" s="8">
        <v>8</v>
      </c>
      <c r="C917" s="8" t="s">
        <v>26</v>
      </c>
      <c r="D917" s="8" t="s">
        <v>64</v>
      </c>
      <c r="E917" s="9">
        <f>7.22-0.116-0.115-0.003-0.229-0.016-0.026-0.05-0.114-0.044-0.017-0.071-0.027-0.043-0.117-0.113-0.026-0.028-0.114-0.221-0.078-0.031-0.451-0.004-0.079-0.117-0.227-0.014-0.006-0.248-0.014-0.11-0.054-0.027</f>
        <v>4.2699999999999996</v>
      </c>
    </row>
    <row r="918" spans="1:5" x14ac:dyDescent="0.3">
      <c r="A918" s="8">
        <v>70</v>
      </c>
      <c r="B918" s="8">
        <v>8</v>
      </c>
      <c r="C918" s="8" t="s">
        <v>26</v>
      </c>
      <c r="D918" s="8" t="s">
        <v>1</v>
      </c>
      <c r="E918" s="9">
        <f>1.654-0.023-0.128-0.114-0.104-0.115</f>
        <v>1.17</v>
      </c>
    </row>
    <row r="919" spans="1:5" x14ac:dyDescent="0.3">
      <c r="A919" s="10">
        <v>70</v>
      </c>
      <c r="B919" s="10">
        <v>8</v>
      </c>
      <c r="C919" s="10" t="s">
        <v>30</v>
      </c>
      <c r="D919" s="10" t="s">
        <v>1</v>
      </c>
      <c r="E919" s="15">
        <v>5.13</v>
      </c>
    </row>
    <row r="920" spans="1:5" x14ac:dyDescent="0.3">
      <c r="A920" s="8">
        <v>70</v>
      </c>
      <c r="B920" s="8">
        <v>10</v>
      </c>
      <c r="C920" s="8">
        <v>20</v>
      </c>
      <c r="D920" s="8" t="s">
        <v>1</v>
      </c>
      <c r="E920" s="9">
        <v>5</v>
      </c>
    </row>
    <row r="921" spans="1:5" x14ac:dyDescent="0.3">
      <c r="A921" s="10">
        <v>70</v>
      </c>
      <c r="B921" s="10">
        <v>10</v>
      </c>
      <c r="C921" s="10" t="s">
        <v>26</v>
      </c>
      <c r="D921" s="10" t="s">
        <v>64</v>
      </c>
      <c r="E921" s="15">
        <f>4.96-0.012-0.039-3.52-0.15-0.056-0.038-0.157-0.016-0.641+5.64-0.032-0.017-0.1-0.096-0.017-0.088-0.021-0.094-0.025-0.032-1.81-0.017-0.093-0.025-0.148-0.017-0.077-0.017-0.025-0.017-0.54-0.025-0.188-0.09-0.025-0.095-0.187-0.094-0.187-0.025-0.025-0.025-0.024-0.069-0.024-0.096-0.181-0.095-0.014-0.19-0.071-0.189-0.094-0.096-0.067-0.187-0.187-0.096-0.008-0.017+0.2</f>
        <v>0.19199999999999962</v>
      </c>
    </row>
    <row r="922" spans="1:5" x14ac:dyDescent="0.3">
      <c r="A922" s="8">
        <v>70</v>
      </c>
      <c r="B922" s="8">
        <v>10</v>
      </c>
      <c r="C922" s="8" t="s">
        <v>26</v>
      </c>
      <c r="D922" s="8" t="s">
        <v>64</v>
      </c>
      <c r="E922" s="9">
        <f>5.08-0.006-0.072-0.017-0.018-0.201-0.032-0.095-0.018-0.027-0.163-0.322-0.16-0.099-0.016-0.291-0.155</f>
        <v>3.3879999999999999</v>
      </c>
    </row>
    <row r="923" spans="1:5" x14ac:dyDescent="0.3">
      <c r="A923" s="10">
        <v>70</v>
      </c>
      <c r="B923" s="10">
        <v>10</v>
      </c>
      <c r="C923" s="10" t="s">
        <v>28</v>
      </c>
      <c r="D923" s="10" t="s">
        <v>1</v>
      </c>
      <c r="E923" s="15">
        <f>5.21-0.044-0.048-0.139-0.033-0.14-0.559-0.037-0.142-0.43-0.29-0.42-0.64-0.142</f>
        <v>2.1459999999999995</v>
      </c>
    </row>
    <row r="924" spans="1:5" x14ac:dyDescent="0.3">
      <c r="A924" s="10">
        <v>70</v>
      </c>
      <c r="B924" s="10">
        <v>10</v>
      </c>
      <c r="C924" s="10" t="s">
        <v>30</v>
      </c>
      <c r="D924" s="10" t="s">
        <v>1</v>
      </c>
      <c r="E924" s="15">
        <v>5</v>
      </c>
    </row>
    <row r="925" spans="1:5" x14ac:dyDescent="0.3">
      <c r="A925" s="10">
        <v>70</v>
      </c>
      <c r="B925" s="10">
        <v>12</v>
      </c>
      <c r="C925" s="10">
        <v>20</v>
      </c>
      <c r="D925" s="10" t="s">
        <v>1</v>
      </c>
      <c r="E925" s="15">
        <f>3.012-0.208-0.019-0.024-0.055</f>
        <v>2.7059999999999995</v>
      </c>
    </row>
    <row r="926" spans="1:5" x14ac:dyDescent="0.3">
      <c r="A926" s="8">
        <v>70</v>
      </c>
      <c r="B926" s="8">
        <v>12</v>
      </c>
      <c r="C926" s="8">
        <v>20</v>
      </c>
      <c r="D926" s="8" t="s">
        <v>1</v>
      </c>
      <c r="E926" s="9">
        <v>5</v>
      </c>
    </row>
    <row r="927" spans="1:5" x14ac:dyDescent="0.3">
      <c r="A927" s="10">
        <v>70</v>
      </c>
      <c r="B927" s="10">
        <v>12</v>
      </c>
      <c r="C927" s="10" t="s">
        <v>26</v>
      </c>
      <c r="D927" s="10" t="s">
        <v>64</v>
      </c>
      <c r="E927" s="15">
        <f>4.905-0.038-0.01-0.019-0.32-0.021-1.01-0.32-0.049-0.159-0.01-0.047-0.161-0.052-0.037-0.159-0.072-0.16-0.048-1.7-0.321-0.147-0.01-0.055+0.124-0.064</f>
        <v>4.0000000000000563E-2</v>
      </c>
    </row>
    <row r="928" spans="1:5" x14ac:dyDescent="0.3">
      <c r="A928" s="10">
        <v>70</v>
      </c>
      <c r="B928" s="10">
        <v>12</v>
      </c>
      <c r="C928" s="10" t="s">
        <v>26</v>
      </c>
      <c r="D928" s="10" t="s">
        <v>64</v>
      </c>
      <c r="E928" s="15">
        <f>5.07-0.108</f>
        <v>4.9620000000000006</v>
      </c>
    </row>
    <row r="929" spans="1:5" x14ac:dyDescent="0.3">
      <c r="A929" s="8">
        <v>70</v>
      </c>
      <c r="B929" s="8">
        <v>12</v>
      </c>
      <c r="C929" s="8">
        <v>45</v>
      </c>
      <c r="D929" s="8" t="s">
        <v>1</v>
      </c>
      <c r="E929" s="9">
        <v>5</v>
      </c>
    </row>
    <row r="930" spans="1:5" x14ac:dyDescent="0.3">
      <c r="A930" s="10">
        <v>70</v>
      </c>
      <c r="B930" s="10">
        <v>12</v>
      </c>
      <c r="C930" s="10" t="s">
        <v>28</v>
      </c>
      <c r="D930" s="10" t="s">
        <v>1</v>
      </c>
      <c r="E930" s="15">
        <f>5.25-0.35-0.373-0.375-0.37-0.56-0.88-0.108-0.375-0.028-0.013-0.054-0.055-0.024</f>
        <v>1.6850000000000001</v>
      </c>
    </row>
    <row r="931" spans="1:5" x14ac:dyDescent="0.3">
      <c r="A931" s="10">
        <v>70</v>
      </c>
      <c r="B931" s="10">
        <v>12</v>
      </c>
      <c r="C931" s="10" t="s">
        <v>30</v>
      </c>
      <c r="D931" s="10" t="s">
        <v>1</v>
      </c>
      <c r="E931" s="15">
        <f>5-0.325-0.327-0.49-0.055-0.037-0.108-0.053-0.037</f>
        <v>3.5679999999999996</v>
      </c>
    </row>
    <row r="932" spans="1:5" x14ac:dyDescent="0.3">
      <c r="A932" s="10">
        <v>70</v>
      </c>
      <c r="B932" s="10">
        <v>12.5</v>
      </c>
      <c r="C932" s="10" t="s">
        <v>21</v>
      </c>
      <c r="D932" s="10" t="s">
        <v>64</v>
      </c>
      <c r="E932" s="15">
        <f>2.1-0.527+2.115-0.11-0.111-0.11-0.05-0.328-0.219-0.019-0.043-0.04-0.003-0.11-0.037-0.032+0.074-0.111-0.111-0.034-0.039-0.11-0.218-0.039-0.111-0.038-0.072-0.028-0.021</f>
        <v>1.6180000000000001</v>
      </c>
    </row>
    <row r="933" spans="1:5" x14ac:dyDescent="0.3">
      <c r="A933" s="10">
        <v>70</v>
      </c>
      <c r="B933" s="10">
        <v>14</v>
      </c>
      <c r="C933" s="10">
        <v>35</v>
      </c>
      <c r="D933" s="10" t="s">
        <v>1</v>
      </c>
      <c r="E933" s="15">
        <f>5.38+0.69-0.99+4.88-0.341-0.147-0.041-0.163-0.026-0.232-0.14-0.061-0.088-0.168-0.432-0.022-0.826-0.162-0.163-0.44-0.305-0.146-0.17-0.98-0.51-0.293-0.148-0.654-0.142-0.142-0.44-2.515-0.125+0.9</f>
        <v>0.83800000000000197</v>
      </c>
    </row>
    <row r="934" spans="1:5" x14ac:dyDescent="0.3">
      <c r="A934" s="10">
        <v>70</v>
      </c>
      <c r="B934" s="10">
        <v>14</v>
      </c>
      <c r="C934" s="10" t="s">
        <v>28</v>
      </c>
      <c r="D934" s="10" t="s">
        <v>1</v>
      </c>
      <c r="E934" s="15">
        <f>5.05-0.48-1.111-0.159-0.16-0.16-0.051-0.316</f>
        <v>2.6130000000000004</v>
      </c>
    </row>
    <row r="935" spans="1:5" x14ac:dyDescent="0.3">
      <c r="A935" s="8">
        <v>70</v>
      </c>
      <c r="B935" s="8">
        <v>16</v>
      </c>
      <c r="C935" s="8">
        <v>20</v>
      </c>
      <c r="D935" s="8" t="s">
        <v>1</v>
      </c>
      <c r="E935" s="9">
        <v>5</v>
      </c>
    </row>
    <row r="936" spans="1:5" x14ac:dyDescent="0.3">
      <c r="A936" s="10">
        <v>70</v>
      </c>
      <c r="B936" s="10">
        <v>16</v>
      </c>
      <c r="C936" s="10" t="s">
        <v>26</v>
      </c>
      <c r="D936" s="10" t="s">
        <v>1</v>
      </c>
      <c r="E936" s="15">
        <f>5.4-0.012-0.283-0.028-0.1-0.019-0.139-0.067-0.059-0.145-0.08-0.14-0.142-0.013-0.056-0.045-0.053-0.045-0.281-0.013-0.141-0.013-0.572-0.281-0.068-0.142-0.141-0.007-0.43-0.015-0.023-0.57-0.58-0.111-0.285-0.109-0.089-0.077-0.068+0.4-0.016-0.008-0.019</f>
        <v>0.31500000000000111</v>
      </c>
    </row>
    <row r="937" spans="1:5" x14ac:dyDescent="0.3">
      <c r="A937" s="8">
        <v>70</v>
      </c>
      <c r="B937" s="8">
        <v>16</v>
      </c>
      <c r="C937" s="8" t="s">
        <v>26</v>
      </c>
      <c r="D937" s="8" t="s">
        <v>64</v>
      </c>
      <c r="E937" s="9">
        <f>3.91-0.067-0.101+1.4-0.36-0.066</f>
        <v>4.7159999999999993</v>
      </c>
    </row>
    <row r="938" spans="1:5" x14ac:dyDescent="0.3">
      <c r="A938" s="10">
        <v>70</v>
      </c>
      <c r="B938" s="10">
        <v>16</v>
      </c>
      <c r="C938" s="10" t="s">
        <v>36</v>
      </c>
      <c r="D938" s="10" t="s">
        <v>1</v>
      </c>
      <c r="E938" s="15">
        <v>4.37</v>
      </c>
    </row>
    <row r="939" spans="1:5" x14ac:dyDescent="0.3">
      <c r="A939" s="10">
        <v>70</v>
      </c>
      <c r="B939" s="10">
        <v>16</v>
      </c>
      <c r="C939" s="10" t="s">
        <v>30</v>
      </c>
      <c r="D939" s="10" t="s">
        <v>1</v>
      </c>
      <c r="E939" s="15">
        <v>5</v>
      </c>
    </row>
    <row r="940" spans="1:5" x14ac:dyDescent="0.3">
      <c r="A940" s="10">
        <v>70</v>
      </c>
      <c r="B940" s="10">
        <v>16</v>
      </c>
      <c r="C940" s="10" t="s">
        <v>28</v>
      </c>
      <c r="D940" s="10" t="s">
        <v>1</v>
      </c>
      <c r="E940" s="15">
        <f>5.18-0.347-0.179-0.182-0.112-0.875+0.121-0.369-0.012-0.121</f>
        <v>3.1039999999999992</v>
      </c>
    </row>
    <row r="941" spans="1:5" x14ac:dyDescent="0.3">
      <c r="A941" s="10">
        <v>70</v>
      </c>
      <c r="B941" s="10">
        <v>20</v>
      </c>
      <c r="C941" s="10">
        <v>20</v>
      </c>
      <c r="D941" s="10" t="s">
        <v>1</v>
      </c>
      <c r="E941" s="15">
        <f>0.59-0.502+0.482+1.6+0.245+0.104-0.252-0.159-0.09-0.363-0.13-0.038-0.131-0.262-0.026-0.158-0.028</f>
        <v>0.88200000000000067</v>
      </c>
    </row>
    <row r="942" spans="1:5" x14ac:dyDescent="0.3">
      <c r="A942" s="8">
        <v>73</v>
      </c>
      <c r="B942" s="8">
        <v>3</v>
      </c>
      <c r="C942" s="8">
        <v>10</v>
      </c>
      <c r="D942" s="8" t="s">
        <v>4</v>
      </c>
      <c r="E942" s="9">
        <f>0.985-0.019-0.018-0.018-0.11+1.245</f>
        <v>2.0649999999999999</v>
      </c>
    </row>
    <row r="943" spans="1:5" x14ac:dyDescent="0.3">
      <c r="A943" s="12">
        <v>73</v>
      </c>
      <c r="B943" s="12">
        <v>4</v>
      </c>
      <c r="C943" s="12">
        <v>20</v>
      </c>
      <c r="D943" s="8" t="s">
        <v>1</v>
      </c>
      <c r="E943" s="15">
        <v>5</v>
      </c>
    </row>
    <row r="944" spans="1:5" x14ac:dyDescent="0.3">
      <c r="A944" s="8">
        <v>73</v>
      </c>
      <c r="B944" s="8">
        <v>4</v>
      </c>
      <c r="C944" s="8" t="s">
        <v>26</v>
      </c>
      <c r="D944" s="8" t="s">
        <v>64</v>
      </c>
      <c r="E944" s="9">
        <f>4.982-0.079</f>
        <v>4.9030000000000005</v>
      </c>
    </row>
    <row r="945" spans="1:5" x14ac:dyDescent="0.3">
      <c r="A945" s="8">
        <v>73</v>
      </c>
      <c r="B945" s="8">
        <v>4.5</v>
      </c>
      <c r="C945" s="8">
        <v>45</v>
      </c>
      <c r="D945" s="8" t="s">
        <v>1</v>
      </c>
      <c r="E945" s="9">
        <v>2.9950000000000001</v>
      </c>
    </row>
    <row r="946" spans="1:5" x14ac:dyDescent="0.3">
      <c r="A946" s="8">
        <v>73</v>
      </c>
      <c r="B946" s="8">
        <v>5</v>
      </c>
      <c r="C946" s="8">
        <v>20</v>
      </c>
      <c r="D946" s="8" t="s">
        <v>1</v>
      </c>
      <c r="E946" s="9">
        <f>3.025-0.011-1.05</f>
        <v>1.9639999999999997</v>
      </c>
    </row>
    <row r="947" spans="1:5" x14ac:dyDescent="0.3">
      <c r="A947" s="8">
        <v>73</v>
      </c>
      <c r="B947" s="8">
        <v>5</v>
      </c>
      <c r="C947" s="8">
        <v>20</v>
      </c>
      <c r="D947" s="8" t="s">
        <v>1</v>
      </c>
      <c r="E947" s="9">
        <v>5</v>
      </c>
    </row>
    <row r="948" spans="1:5" x14ac:dyDescent="0.3">
      <c r="A948" s="10">
        <v>73</v>
      </c>
      <c r="B948" s="10">
        <v>5</v>
      </c>
      <c r="C948" s="10" t="s">
        <v>26</v>
      </c>
      <c r="D948" s="10" t="s">
        <v>64</v>
      </c>
      <c r="E948" s="15">
        <f>5.515-0.005-0.01-0.027-0.135-0.09-0.084</f>
        <v>5.1640000000000006</v>
      </c>
    </row>
    <row r="949" spans="1:5" x14ac:dyDescent="0.3">
      <c r="A949" s="8">
        <v>73</v>
      </c>
      <c r="B949" s="8">
        <v>5</v>
      </c>
      <c r="C949" s="8">
        <v>45</v>
      </c>
      <c r="D949" s="8" t="s">
        <v>1</v>
      </c>
      <c r="E949" s="9">
        <v>1.405</v>
      </c>
    </row>
    <row r="950" spans="1:5" x14ac:dyDescent="0.3">
      <c r="A950" s="10">
        <v>73</v>
      </c>
      <c r="B950" s="10">
        <v>5.5</v>
      </c>
      <c r="C950" s="10" t="s">
        <v>28</v>
      </c>
      <c r="D950" s="10" t="s">
        <v>1</v>
      </c>
      <c r="E950" s="15">
        <f>5.31-0.02-0.011-0.102-0.011-0.189-0.207-0.011-0.104-0.094-0.102-0.288</f>
        <v>4.1709999999999985</v>
      </c>
    </row>
    <row r="951" spans="1:5" x14ac:dyDescent="0.3">
      <c r="A951" s="10">
        <v>73</v>
      </c>
      <c r="B951" s="10">
        <v>5.5</v>
      </c>
      <c r="C951" s="10" t="s">
        <v>30</v>
      </c>
      <c r="D951" s="10" t="s">
        <v>1</v>
      </c>
      <c r="E951" s="15">
        <f>0.62-0.235</f>
        <v>0.38500000000000001</v>
      </c>
    </row>
    <row r="952" spans="1:5" x14ac:dyDescent="0.3">
      <c r="A952" s="10">
        <v>73</v>
      </c>
      <c r="B952" s="10">
        <v>5.5</v>
      </c>
      <c r="C952" s="10" t="s">
        <v>30</v>
      </c>
      <c r="D952" s="10" t="s">
        <v>1</v>
      </c>
      <c r="E952" s="15">
        <v>5</v>
      </c>
    </row>
    <row r="953" spans="1:5" x14ac:dyDescent="0.3">
      <c r="A953" s="10">
        <v>73</v>
      </c>
      <c r="B953" s="10">
        <v>6</v>
      </c>
      <c r="C953" s="10">
        <v>20</v>
      </c>
      <c r="D953" s="10" t="s">
        <v>1</v>
      </c>
      <c r="E953" s="15">
        <f>5.33-0.035-0.345-0.09-1.15-0.44-0.011-0.089-0.529-0.626-0.093-0.003-0.087-0.26-0.088-0.088-0.037-0.032-0.015-0.358-0.089-0.09-0.016-0.057-0.062-0.031-0.025-0.011-0.105+0.106-0.349-0.052-0.032-0.011-0.09-0.016-0.006-0.009+0.148-0.027-0.006-0.087-0.011-0.021+0.009-0.011-0.003+0.002</f>
        <v>2.0000000000007538E-3</v>
      </c>
    </row>
    <row r="954" spans="1:5" x14ac:dyDescent="0.3">
      <c r="A954" s="8">
        <v>73</v>
      </c>
      <c r="B954" s="8">
        <v>6</v>
      </c>
      <c r="C954" s="8">
        <v>20</v>
      </c>
      <c r="D954" s="8" t="s">
        <v>1</v>
      </c>
      <c r="E954" s="9">
        <v>5</v>
      </c>
    </row>
    <row r="955" spans="1:5" x14ac:dyDescent="0.3">
      <c r="A955" s="8">
        <v>73</v>
      </c>
      <c r="B955" s="8">
        <v>6</v>
      </c>
      <c r="C955" s="8" t="s">
        <v>26</v>
      </c>
      <c r="D955" s="8" t="s">
        <v>64</v>
      </c>
      <c r="E955" s="9">
        <f>2.775-0.109+2.48-0.108-0.108-0.224-0.015-0.038-0.105-0.012-0.011-0.002-0.011-0.13-0.109-0.003-0.018-0.033-0.108-0.109-0.009-0.065-0.022-0.018-0.036-0.046-0.011-0.012-0.215-0.011-0.109-0.11-0.213-0.041-0.033-0.019-0.012-0.023-0.2-0.011</f>
        <v>2.7860000000000009</v>
      </c>
    </row>
    <row r="956" spans="1:5" x14ac:dyDescent="0.3">
      <c r="A956" s="8">
        <v>73</v>
      </c>
      <c r="B956" s="8">
        <v>6</v>
      </c>
      <c r="C956" s="8" t="s">
        <v>26</v>
      </c>
      <c r="D956" s="8" t="s">
        <v>1</v>
      </c>
      <c r="E956" s="9">
        <f>5.94-0.108-0.6-0.646</f>
        <v>4.5860000000000012</v>
      </c>
    </row>
    <row r="957" spans="1:5" x14ac:dyDescent="0.3">
      <c r="A957" s="10">
        <v>73</v>
      </c>
      <c r="B957" s="10">
        <v>6</v>
      </c>
      <c r="C957" s="10">
        <v>45</v>
      </c>
      <c r="D957" s="10" t="s">
        <v>1</v>
      </c>
      <c r="E957" s="15">
        <f>0.18-0.032-0.103+0.026</f>
        <v>7.0999999999999994E-2</v>
      </c>
    </row>
    <row r="958" spans="1:5" x14ac:dyDescent="0.3">
      <c r="A958" s="12">
        <v>73</v>
      </c>
      <c r="B958" s="12">
        <v>6</v>
      </c>
      <c r="C958" s="12">
        <v>45</v>
      </c>
      <c r="D958" s="8" t="s">
        <v>1</v>
      </c>
      <c r="E958" s="15">
        <v>5</v>
      </c>
    </row>
    <row r="959" spans="1:5" x14ac:dyDescent="0.3">
      <c r="A959" s="10">
        <v>73</v>
      </c>
      <c r="B959" s="10">
        <v>6</v>
      </c>
      <c r="C959" s="10" t="s">
        <v>42</v>
      </c>
      <c r="D959" s="10" t="s">
        <v>1</v>
      </c>
      <c r="E959" s="15">
        <v>4.085</v>
      </c>
    </row>
    <row r="960" spans="1:5" x14ac:dyDescent="0.3">
      <c r="A960" s="10">
        <v>73</v>
      </c>
      <c r="B960" s="10">
        <v>7</v>
      </c>
      <c r="C960" s="10" t="s">
        <v>14</v>
      </c>
      <c r="D960" s="10" t="s">
        <v>119</v>
      </c>
      <c r="E960" s="15">
        <v>4.5780000000000003</v>
      </c>
    </row>
    <row r="961" spans="1:5" x14ac:dyDescent="0.3">
      <c r="A961" s="10">
        <v>73</v>
      </c>
      <c r="B961" s="10">
        <v>7</v>
      </c>
      <c r="C961" s="10" t="s">
        <v>28</v>
      </c>
      <c r="D961" s="10" t="s">
        <v>1</v>
      </c>
      <c r="E961" s="15">
        <f>3.705-0.698-0.25-0.037-0.054-2.7+0.084-0.025+0.001-0.007</f>
        <v>1.9000000000000197E-2</v>
      </c>
    </row>
    <row r="962" spans="1:5" x14ac:dyDescent="0.3">
      <c r="A962" s="10">
        <v>73</v>
      </c>
      <c r="B962" s="10">
        <v>7</v>
      </c>
      <c r="C962" s="10" t="s">
        <v>42</v>
      </c>
      <c r="D962" s="10" t="s">
        <v>1</v>
      </c>
      <c r="E962" s="15">
        <v>1.82</v>
      </c>
    </row>
    <row r="963" spans="1:5" x14ac:dyDescent="0.3">
      <c r="A963" s="8">
        <v>73</v>
      </c>
      <c r="B963" s="8">
        <v>7</v>
      </c>
      <c r="C963" s="8" t="s">
        <v>30</v>
      </c>
      <c r="D963" s="8" t="s">
        <v>1</v>
      </c>
      <c r="E963" s="9">
        <f>4.991-0.94-0.27-0.061-0.55</f>
        <v>3.17</v>
      </c>
    </row>
    <row r="964" spans="1:5" x14ac:dyDescent="0.3">
      <c r="A964" s="8">
        <v>73</v>
      </c>
      <c r="B964" s="8">
        <v>8</v>
      </c>
      <c r="C964" s="8">
        <v>20</v>
      </c>
      <c r="D964" s="8" t="s">
        <v>1</v>
      </c>
      <c r="E964" s="9">
        <f>0.775+0.135+2.17-0.007-0.084-0.049</f>
        <v>2.94</v>
      </c>
    </row>
    <row r="965" spans="1:5" x14ac:dyDescent="0.3">
      <c r="A965" s="12">
        <v>73</v>
      </c>
      <c r="B965" s="12">
        <v>8</v>
      </c>
      <c r="C965" s="12">
        <v>20</v>
      </c>
      <c r="D965" s="8" t="s">
        <v>1</v>
      </c>
      <c r="E965" s="15">
        <v>0.122</v>
      </c>
    </row>
    <row r="966" spans="1:5" x14ac:dyDescent="0.3">
      <c r="A966" s="8">
        <v>73</v>
      </c>
      <c r="B966" s="8">
        <v>8</v>
      </c>
      <c r="C966" s="8" t="s">
        <v>26</v>
      </c>
      <c r="D966" s="8" t="s">
        <v>64</v>
      </c>
      <c r="E966" s="9">
        <f>5.067-0.258-0.028-0.014-0.008-0.04-0.042-0.041-0.258-0.041-0.128-0.049-0.018-0.014-0.051-0.015-0.036-0.014-0.014-0.036-0.259-0.015</f>
        <v>3.6879999999999997</v>
      </c>
    </row>
    <row r="967" spans="1:5" x14ac:dyDescent="0.3">
      <c r="A967" s="10">
        <v>73</v>
      </c>
      <c r="B967" s="10">
        <v>8</v>
      </c>
      <c r="C967" s="10" t="s">
        <v>108</v>
      </c>
      <c r="D967" s="10" t="s">
        <v>128</v>
      </c>
      <c r="E967" s="15">
        <f>5.005-0.229-0.112</f>
        <v>4.6639999999999997</v>
      </c>
    </row>
    <row r="968" spans="1:5" x14ac:dyDescent="0.3">
      <c r="A968" s="10">
        <v>73</v>
      </c>
      <c r="B968" s="10">
        <v>8</v>
      </c>
      <c r="C968" s="10" t="s">
        <v>28</v>
      </c>
      <c r="D968" s="10" t="s">
        <v>1</v>
      </c>
      <c r="E968" s="15">
        <f>5.08-0.254-0.39-0.59-0.069-0.021-0.133</f>
        <v>3.6230000000000011</v>
      </c>
    </row>
    <row r="969" spans="1:5" x14ac:dyDescent="0.3">
      <c r="A969" s="8">
        <v>73</v>
      </c>
      <c r="B969" s="8">
        <v>9</v>
      </c>
      <c r="C969" s="8">
        <v>20</v>
      </c>
      <c r="D969" s="8" t="s">
        <v>1</v>
      </c>
      <c r="E969" s="9">
        <f>2.91-0.12-0.024-0.02-0.035-0.091-0.046</f>
        <v>2.5739999999999998</v>
      </c>
    </row>
    <row r="970" spans="1:5" x14ac:dyDescent="0.3">
      <c r="A970" s="8">
        <v>73</v>
      </c>
      <c r="B970" s="8">
        <v>9</v>
      </c>
      <c r="C970" s="8" t="s">
        <v>36</v>
      </c>
      <c r="D970" s="8" t="s">
        <v>1</v>
      </c>
      <c r="E970" s="9">
        <f>2.185-1.1-0.298-0.147+1.29</f>
        <v>1.93</v>
      </c>
    </row>
    <row r="971" spans="1:5" x14ac:dyDescent="0.3">
      <c r="A971" s="10">
        <v>73</v>
      </c>
      <c r="B971" s="10">
        <v>9</v>
      </c>
      <c r="C971" s="10" t="s">
        <v>42</v>
      </c>
      <c r="D971" s="10" t="s">
        <v>1</v>
      </c>
      <c r="E971" s="15">
        <v>2.3849999999999998</v>
      </c>
    </row>
    <row r="972" spans="1:5" x14ac:dyDescent="0.3">
      <c r="A972" s="10">
        <v>73</v>
      </c>
      <c r="B972" s="10">
        <v>9</v>
      </c>
      <c r="C972" s="10" t="s">
        <v>30</v>
      </c>
      <c r="D972" s="10" t="s">
        <v>1</v>
      </c>
      <c r="E972" s="15">
        <f>1.178+0.083-0.046-0.137-0.031-0.019-0.118-0.031-0.016+10.415-0.143-0.016-0.15-0.046-0.046-0.147-0.136</f>
        <v>10.593999999999999</v>
      </c>
    </row>
    <row r="973" spans="1:5" x14ac:dyDescent="0.3">
      <c r="A973" s="8">
        <v>73</v>
      </c>
      <c r="B973" s="8">
        <v>10</v>
      </c>
      <c r="C973" s="8">
        <v>20</v>
      </c>
      <c r="D973" s="8" t="s">
        <v>1</v>
      </c>
      <c r="E973" s="9">
        <f>5.152-0.017</f>
        <v>5.1349999999999998</v>
      </c>
    </row>
    <row r="974" spans="1:5" x14ac:dyDescent="0.3">
      <c r="A974" s="8">
        <v>73</v>
      </c>
      <c r="B974" s="8">
        <v>10</v>
      </c>
      <c r="C974" s="8" t="s">
        <v>26</v>
      </c>
      <c r="D974" s="8" t="s">
        <v>64</v>
      </c>
      <c r="E974" s="9">
        <f>5.04-0.012-0.152-0.049-0.164-0.16-1.04-0.153-0.049-0.156-0.066-0.045</f>
        <v>2.9940000000000002</v>
      </c>
    </row>
    <row r="975" spans="1:5" x14ac:dyDescent="0.3">
      <c r="A975" s="10">
        <v>73</v>
      </c>
      <c r="B975" s="10">
        <v>10</v>
      </c>
      <c r="C975" s="10" t="s">
        <v>28</v>
      </c>
      <c r="D975" s="10" t="s">
        <v>1</v>
      </c>
      <c r="E975" s="15">
        <f>2.48-1.105+2.81</f>
        <v>4.1850000000000005</v>
      </c>
    </row>
    <row r="976" spans="1:5" x14ac:dyDescent="0.3">
      <c r="A976" s="10">
        <v>73</v>
      </c>
      <c r="B976" s="10">
        <v>10</v>
      </c>
      <c r="C976" s="10" t="s">
        <v>30</v>
      </c>
      <c r="D976" s="10" t="s">
        <v>1</v>
      </c>
      <c r="E976" s="15">
        <f>4.85-0.009-0.009-0.149-0.022-1.92</f>
        <v>2.7409999999999988</v>
      </c>
    </row>
    <row r="977" spans="1:5" x14ac:dyDescent="0.3">
      <c r="A977" s="10">
        <v>73</v>
      </c>
      <c r="B977" s="10">
        <v>11</v>
      </c>
      <c r="C977" s="10">
        <v>45</v>
      </c>
      <c r="D977" s="10" t="s">
        <v>1</v>
      </c>
      <c r="E977" s="15">
        <f>5.055-1.6+1.96+0.048-0.035-0.125+1.312-0.34-0.131-0.037-0.151-0.17-0.038-0.009-0.028-0.032-0.055-0.28-0.054-0.125-0.13-0.037-0.65-0.134-0.02-0.245-0.029-0.526-0.019-0.037-0.024+0.024-0.265</f>
        <v>3.0729999999999991</v>
      </c>
    </row>
    <row r="978" spans="1:5" x14ac:dyDescent="0.3">
      <c r="A978" s="10">
        <v>73</v>
      </c>
      <c r="B978" s="10">
        <v>11</v>
      </c>
      <c r="C978" s="10" t="s">
        <v>30</v>
      </c>
      <c r="D978" s="10" t="s">
        <v>1</v>
      </c>
      <c r="E978" s="15">
        <f>3.96-0.53-0.35+0.225-0.054-0.179-0.35-0.178</f>
        <v>2.544</v>
      </c>
    </row>
    <row r="979" spans="1:5" x14ac:dyDescent="0.3">
      <c r="A979" s="8">
        <v>73</v>
      </c>
      <c r="B979" s="8">
        <v>12</v>
      </c>
      <c r="C979" s="8">
        <v>20</v>
      </c>
      <c r="D979" s="8" t="s">
        <v>1</v>
      </c>
      <c r="E979" s="9">
        <f>6.949-0.067-0.039-0.039-0.04-0.008</f>
        <v>6.7560000000000002</v>
      </c>
    </row>
    <row r="980" spans="1:5" x14ac:dyDescent="0.3">
      <c r="A980" s="8">
        <v>73</v>
      </c>
      <c r="B980" s="8">
        <v>12</v>
      </c>
      <c r="C980" s="8" t="s">
        <v>26</v>
      </c>
      <c r="D980" s="8" t="s">
        <v>64</v>
      </c>
      <c r="E980" s="9">
        <f>5-0.009-0.568-0.011-0.02-0.178-0.028-0.061-0.245-0.143-0.063-0.067-0.023-0.165-0.01-0.04-0.029-0.008</f>
        <v>3.3320000000000007</v>
      </c>
    </row>
    <row r="981" spans="1:5" x14ac:dyDescent="0.3">
      <c r="A981" s="12">
        <v>73</v>
      </c>
      <c r="B981" s="12">
        <v>12</v>
      </c>
      <c r="C981" s="12">
        <v>35</v>
      </c>
      <c r="D981" s="8" t="s">
        <v>1</v>
      </c>
      <c r="E981" s="15">
        <v>5</v>
      </c>
    </row>
    <row r="982" spans="1:5" x14ac:dyDescent="0.3">
      <c r="A982" s="12">
        <v>73</v>
      </c>
      <c r="B982" s="12">
        <v>12</v>
      </c>
      <c r="C982" s="12">
        <v>45</v>
      </c>
      <c r="D982" s="8" t="s">
        <v>1</v>
      </c>
      <c r="E982" s="15">
        <v>5</v>
      </c>
    </row>
    <row r="983" spans="1:5" x14ac:dyDescent="0.3">
      <c r="A983" s="10">
        <v>73</v>
      </c>
      <c r="B983" s="10">
        <v>12</v>
      </c>
      <c r="C983" s="10" t="s">
        <v>30</v>
      </c>
      <c r="D983" s="10" t="s">
        <v>1</v>
      </c>
      <c r="E983" s="15">
        <f>0.012+0.201+0.031-0.205-0.031</f>
        <v>8.0000000000000349E-3</v>
      </c>
    </row>
    <row r="984" spans="1:5" x14ac:dyDescent="0.3">
      <c r="A984" s="10">
        <v>73</v>
      </c>
      <c r="B984" s="10">
        <v>12</v>
      </c>
      <c r="C984" s="10" t="s">
        <v>30</v>
      </c>
      <c r="D984" s="10" t="s">
        <v>1</v>
      </c>
      <c r="E984" s="15">
        <f>3.975-0.33-0.157-0.07-0.164-0.04-0.067-0.417-0.15-1.31</f>
        <v>1.27</v>
      </c>
    </row>
    <row r="985" spans="1:5" x14ac:dyDescent="0.3">
      <c r="A985" s="8">
        <v>73</v>
      </c>
      <c r="B985" s="8">
        <v>14</v>
      </c>
      <c r="C985" s="8">
        <v>20</v>
      </c>
      <c r="D985" s="8" t="s">
        <v>1</v>
      </c>
      <c r="E985" s="9">
        <v>5</v>
      </c>
    </row>
    <row r="986" spans="1:5" x14ac:dyDescent="0.3">
      <c r="A986" s="10">
        <v>73</v>
      </c>
      <c r="B986" s="10">
        <v>14</v>
      </c>
      <c r="C986" s="10" t="s">
        <v>26</v>
      </c>
      <c r="D986" s="10" t="s">
        <v>1</v>
      </c>
      <c r="E986" s="15">
        <f>14.555+1.47-0.278-0.064-0.14-0.008-0.058-0.023-0.02-0.054-0.028-0.025-0.281-0.016-0.027-0.226-0.127-0.215-0.015-0.06-0.043-0.065-0.012-0.086-0.14-0.089-0.023-0.139-0.043-0.035-0.278-0.023-0.106-0.286-0.139-0.042</f>
        <v>12.810999999999998</v>
      </c>
    </row>
    <row r="987" spans="1:5" x14ac:dyDescent="0.3">
      <c r="A987" s="8">
        <v>73</v>
      </c>
      <c r="B987" s="8">
        <v>14</v>
      </c>
      <c r="C987" s="8">
        <v>45</v>
      </c>
      <c r="D987" s="8" t="s">
        <v>1</v>
      </c>
      <c r="E987" s="9">
        <v>5</v>
      </c>
    </row>
    <row r="988" spans="1:5" x14ac:dyDescent="0.3">
      <c r="A988" s="10">
        <v>73</v>
      </c>
      <c r="B988" s="10">
        <v>14</v>
      </c>
      <c r="C988" s="10" t="s">
        <v>28</v>
      </c>
      <c r="D988" s="10" t="s">
        <v>1</v>
      </c>
      <c r="E988" s="15">
        <v>5</v>
      </c>
    </row>
    <row r="989" spans="1:5" x14ac:dyDescent="0.3">
      <c r="A989" s="10">
        <v>73</v>
      </c>
      <c r="B989" s="10">
        <v>14</v>
      </c>
      <c r="C989" s="10" t="s">
        <v>30</v>
      </c>
      <c r="D989" s="10" t="s">
        <v>1</v>
      </c>
      <c r="E989" s="15">
        <f>4.81-0.196-0.49-0.89-0.5-0.044-0.057-0.026-2.58+0.14-0.077</f>
        <v>8.9999999999999705E-2</v>
      </c>
    </row>
    <row r="990" spans="1:5" x14ac:dyDescent="0.3">
      <c r="A990" s="10">
        <v>73</v>
      </c>
      <c r="B990" s="10">
        <v>14</v>
      </c>
      <c r="C990" s="10" t="s">
        <v>30</v>
      </c>
      <c r="D990" s="10" t="s">
        <v>1</v>
      </c>
      <c r="E990" s="15">
        <f>2.58-0.302-0.2-0.318-0.201-0.1-0.133-0.199-0.236-0.1-0.2-0.075+4.73-0.162-0.021-0.814-0.162</f>
        <v>4.0870000000000006</v>
      </c>
    </row>
    <row r="991" spans="1:5" x14ac:dyDescent="0.3">
      <c r="A991" s="8">
        <v>73</v>
      </c>
      <c r="B991" s="8">
        <v>16</v>
      </c>
      <c r="C991" s="8">
        <v>20</v>
      </c>
      <c r="D991" s="8" t="s">
        <v>1</v>
      </c>
      <c r="E991" s="9">
        <v>5</v>
      </c>
    </row>
    <row r="992" spans="1:5" x14ac:dyDescent="0.3">
      <c r="A992" s="10">
        <v>73</v>
      </c>
      <c r="B992" s="10">
        <v>16</v>
      </c>
      <c r="C992" s="10" t="s">
        <v>26</v>
      </c>
      <c r="D992" s="10" t="s">
        <v>64</v>
      </c>
      <c r="E992" s="15">
        <f>2.94-0.305+0.128-0.486-0.13-0.58-0.327-0.26-0.024-0.249-0.139-0.095+0.077-0.52+0.07+0.79+2.96-0.186-0.029-0.184-0.059-0.025-0.139-0.74-0.555</f>
        <v>1.9329999999999994</v>
      </c>
    </row>
    <row r="993" spans="1:5" x14ac:dyDescent="0.3">
      <c r="A993" s="8">
        <v>73</v>
      </c>
      <c r="B993" s="8">
        <v>16</v>
      </c>
      <c r="C993" s="8">
        <v>45</v>
      </c>
      <c r="D993" s="8" t="s">
        <v>1</v>
      </c>
      <c r="E993" s="9">
        <v>5</v>
      </c>
    </row>
    <row r="994" spans="1:5" x14ac:dyDescent="0.3">
      <c r="A994" s="10">
        <v>73</v>
      </c>
      <c r="B994" s="10">
        <v>16</v>
      </c>
      <c r="C994" s="10" t="s">
        <v>28</v>
      </c>
      <c r="D994" s="10" t="s">
        <v>1</v>
      </c>
      <c r="E994" s="15">
        <f>5.25-0.029-0.375-1.42</f>
        <v>3.4260000000000002</v>
      </c>
    </row>
    <row r="995" spans="1:5" x14ac:dyDescent="0.3">
      <c r="A995" s="10">
        <v>73</v>
      </c>
      <c r="B995" s="10">
        <v>16</v>
      </c>
      <c r="C995" s="10" t="s">
        <v>30</v>
      </c>
      <c r="D995" s="10" t="s">
        <v>1</v>
      </c>
      <c r="E995" s="15">
        <v>5.19</v>
      </c>
    </row>
    <row r="996" spans="1:5" x14ac:dyDescent="0.3">
      <c r="A996" s="8">
        <v>73</v>
      </c>
      <c r="B996" s="8">
        <v>18</v>
      </c>
      <c r="C996" s="8">
        <v>20</v>
      </c>
      <c r="D996" s="8" t="s">
        <v>1</v>
      </c>
      <c r="E996" s="9">
        <v>5</v>
      </c>
    </row>
    <row r="997" spans="1:5" x14ac:dyDescent="0.3">
      <c r="A997" s="10">
        <v>73</v>
      </c>
      <c r="B997" s="10">
        <v>18</v>
      </c>
      <c r="C997" s="10" t="s">
        <v>26</v>
      </c>
      <c r="D997" s="10" t="s">
        <v>1</v>
      </c>
      <c r="E997" s="15">
        <f>4.81+0.14-0.147-2.07-0.053-0.015-0.144-0.04-0.29-0.172-0.147-0.289-0.277-0.078-0.72-0.144-0.069-0.148-0.053</f>
        <v>9.3999999999998668E-2</v>
      </c>
    </row>
    <row r="998" spans="1:5" x14ac:dyDescent="0.3">
      <c r="A998" s="8">
        <v>73</v>
      </c>
      <c r="B998" s="8">
        <v>18</v>
      </c>
      <c r="C998" s="8">
        <v>45</v>
      </c>
      <c r="D998" s="8" t="s">
        <v>1</v>
      </c>
      <c r="E998" s="9">
        <v>5</v>
      </c>
    </row>
    <row r="999" spans="1:5" x14ac:dyDescent="0.3">
      <c r="A999" s="10">
        <v>73</v>
      </c>
      <c r="B999" s="10">
        <v>18</v>
      </c>
      <c r="C999" s="10" t="s">
        <v>28</v>
      </c>
      <c r="D999" s="10" t="s">
        <v>1</v>
      </c>
      <c r="E999" s="15">
        <f>0.042-0.011-0.022</f>
        <v>9.0000000000000045E-3</v>
      </c>
    </row>
    <row r="1000" spans="1:5" x14ac:dyDescent="0.3">
      <c r="A1000" s="8">
        <v>73</v>
      </c>
      <c r="B1000" s="8">
        <v>18</v>
      </c>
      <c r="C1000" s="8" t="s">
        <v>28</v>
      </c>
      <c r="D1000" s="8" t="s">
        <v>1</v>
      </c>
      <c r="E1000" s="9">
        <f>5.39-0.058-0.207-0.4-0.017-0.051-0.126-0.406-0.015-0.818-0.206-0.079-0.016-0.044-0.412+5.31-0.04</f>
        <v>7.8049999999999988</v>
      </c>
    </row>
    <row r="1001" spans="1:5" x14ac:dyDescent="0.3">
      <c r="A1001" s="10">
        <v>73</v>
      </c>
      <c r="B1001" s="10">
        <v>18</v>
      </c>
      <c r="C1001" s="10" t="s">
        <v>67</v>
      </c>
      <c r="D1001" s="10" t="s">
        <v>1</v>
      </c>
      <c r="E1001" s="15">
        <f>4.73-2.315-0.135-0.014-0.57</f>
        <v>1.6960000000000006</v>
      </c>
    </row>
    <row r="1002" spans="1:5" x14ac:dyDescent="0.3">
      <c r="A1002" s="8">
        <v>73</v>
      </c>
      <c r="B1002" s="8">
        <v>18</v>
      </c>
      <c r="C1002" s="8" t="s">
        <v>30</v>
      </c>
      <c r="D1002" s="8" t="s">
        <v>1</v>
      </c>
      <c r="E1002" s="9">
        <f>4.92-0.026-0.056-0.18-0.101-0.106-0.104-0.206-0.015-0.026-0.41-0.07-0.208-0.405-0.035-0.026</f>
        <v>2.9460000000000006</v>
      </c>
    </row>
    <row r="1003" spans="1:5" x14ac:dyDescent="0.3">
      <c r="A1003" s="8">
        <v>73</v>
      </c>
      <c r="B1003" s="8">
        <v>18</v>
      </c>
      <c r="C1003" s="8" t="s">
        <v>30</v>
      </c>
      <c r="D1003" s="8" t="s">
        <v>1</v>
      </c>
      <c r="E1003" s="9">
        <v>5</v>
      </c>
    </row>
    <row r="1004" spans="1:5" x14ac:dyDescent="0.3">
      <c r="A1004" s="10">
        <v>73</v>
      </c>
      <c r="B1004" s="10">
        <v>20</v>
      </c>
      <c r="C1004" s="10">
        <v>20</v>
      </c>
      <c r="D1004" s="10" t="s">
        <v>1</v>
      </c>
      <c r="E1004" s="15">
        <f>4.9-2.7-0.163+0.519-0.083-0.03-0.067-0.056-0.11-0.083-0.29-0.288-0.029-0.029-0.151+0.079-0.027-0.112-0.281-0.037-0.056-0.058-0.056-0.03-0.195-0.018</f>
        <v>0.54899999999999993</v>
      </c>
    </row>
    <row r="1005" spans="1:5" x14ac:dyDescent="0.3">
      <c r="A1005" s="8">
        <v>73</v>
      </c>
      <c r="B1005" s="8">
        <v>20</v>
      </c>
      <c r="C1005" s="8">
        <v>20</v>
      </c>
      <c r="D1005" s="8" t="s">
        <v>1</v>
      </c>
      <c r="E1005" s="9">
        <v>5</v>
      </c>
    </row>
    <row r="1006" spans="1:5" x14ac:dyDescent="0.3">
      <c r="A1006" s="8">
        <v>73</v>
      </c>
      <c r="B1006" s="8">
        <v>20</v>
      </c>
      <c r="C1006" s="8" t="s">
        <v>26</v>
      </c>
      <c r="D1006" s="8" t="s">
        <v>64</v>
      </c>
      <c r="E1006" s="9">
        <f>2.625-0.23+5.15</f>
        <v>7.5449999999999999</v>
      </c>
    </row>
    <row r="1007" spans="1:5" x14ac:dyDescent="0.3">
      <c r="A1007" s="10">
        <v>73</v>
      </c>
      <c r="B1007" s="10">
        <v>20</v>
      </c>
      <c r="C1007" s="10" t="s">
        <v>30</v>
      </c>
      <c r="D1007" s="10" t="s">
        <v>1</v>
      </c>
      <c r="E1007" s="15">
        <f>10.35-4.94-0.76-0.085-1.235-0.5-0.752-0.068-0.26</f>
        <v>1.7499999999999993</v>
      </c>
    </row>
    <row r="1008" spans="1:5" x14ac:dyDescent="0.3">
      <c r="A1008" s="8">
        <v>73</v>
      </c>
      <c r="B1008" s="8">
        <v>20</v>
      </c>
      <c r="C1008" s="8" t="s">
        <v>30</v>
      </c>
      <c r="D1008" s="8" t="s">
        <v>1</v>
      </c>
      <c r="E1008" s="9">
        <v>7</v>
      </c>
    </row>
    <row r="1009" spans="1:5" x14ac:dyDescent="0.3">
      <c r="A1009" s="8">
        <v>76</v>
      </c>
      <c r="B1009" s="8">
        <v>3</v>
      </c>
      <c r="C1009" s="8">
        <v>20</v>
      </c>
      <c r="D1009" s="8" t="s">
        <v>4</v>
      </c>
      <c r="E1009" s="9">
        <f>2.7-0.006-0.007-0.171+0.125-0.174-0.036-0.007-0.022-0.063-0.063-0.012-0.003-0.018-0.123-0.004-0.093-0.014-0.035-0.009-0.007-0.009-0.007-0.018-0.01-0.005</f>
        <v>1.9090000000000009</v>
      </c>
    </row>
    <row r="1010" spans="1:5" x14ac:dyDescent="0.3">
      <c r="A1010" s="10">
        <v>76</v>
      </c>
      <c r="B1010" s="10">
        <v>4</v>
      </c>
      <c r="C1010" s="10" t="s">
        <v>34</v>
      </c>
      <c r="D1010" s="10" t="s">
        <v>7</v>
      </c>
      <c r="E1010" s="15">
        <f>0.083+0.092+0.041-0.043-0.008-0.034-0.002</f>
        <v>0.12899999999999998</v>
      </c>
    </row>
    <row r="1011" spans="1:5" x14ac:dyDescent="0.3">
      <c r="A1011" s="10">
        <v>76</v>
      </c>
      <c r="B1011" s="10">
        <v>4</v>
      </c>
      <c r="C1011" s="10">
        <v>20</v>
      </c>
      <c r="D1011" s="10" t="s">
        <v>7</v>
      </c>
      <c r="E1011" s="15">
        <v>1.4E-2</v>
      </c>
    </row>
    <row r="1012" spans="1:5" x14ac:dyDescent="0.3">
      <c r="A1012" s="17">
        <v>76</v>
      </c>
      <c r="B1012" s="17">
        <v>4</v>
      </c>
      <c r="C1012" s="17">
        <v>20</v>
      </c>
      <c r="D1012" s="17" t="s">
        <v>1</v>
      </c>
      <c r="E1012" s="18">
        <f>3.272-0.003+0.582+0.732+0.482-0.003-0.016-0.11-0.012-0.006-0.057-0.003+1.61+1.065-0.009-0.165+0.285-0.763-0.002-0.136-0.009-0.017+0.73-0.002-0.288-0.003-0.014-0.009-0.306-0.009-0.009-0.011-0.009-0.084-0.297-0.282-0.01-0.009-0.005-0.044-0.014-0.048-0.003-0.038-0.024-0.383-0.064-0.032-0.026-0.078-0.008-0.005-0.024-0.241-0.028-0.024-1.04</f>
        <v>3.9759999999999982</v>
      </c>
    </row>
    <row r="1013" spans="1:5" x14ac:dyDescent="0.3">
      <c r="A1013" s="10">
        <v>76</v>
      </c>
      <c r="B1013" s="10">
        <v>4</v>
      </c>
      <c r="C1013" s="10" t="s">
        <v>26</v>
      </c>
      <c r="D1013" s="10" t="s">
        <v>1</v>
      </c>
      <c r="E1013" s="15">
        <f>4.996-0.005-0.016-0.009-0.002-0.028-0.07-0.077-0.019-0.004-0.081-0.006-0.004-0.003-0.009-0.082-0.002-0.075-0.231-0.133-0.387-0.03-0.55-0.024-0.3-0.075-1.855-0.167-0.005-0.004-0.028-0.009-0.054-0.15-0.006-0.084-0.017-0.145-0.016-0.04-0.045-0.023-0.015-0.005+0.4-0.078-0.008-0.009-0.021-0.003-0.032-0.013-0.024-0.042-0.047-0.008+0.342-0.098-0.041-0.075-0.063-0.002+0.124-0.006-0.024-0.021-0.007-0.078-0.032-0.009-0.017-0.002-0.065+0.658-0.006+0.538-0.003-0.162-0.005</f>
        <v>1.1670000000000011</v>
      </c>
    </row>
    <row r="1014" spans="1:5" x14ac:dyDescent="0.3">
      <c r="A1014" s="10">
        <v>76</v>
      </c>
      <c r="B1014" s="10">
        <v>4</v>
      </c>
      <c r="C1014" s="10" t="s">
        <v>26</v>
      </c>
      <c r="D1014" s="10" t="s">
        <v>64</v>
      </c>
      <c r="E1014" s="15">
        <f>6.13-0.084-0.009-0.013-0.086-0.002+2.27-0.009-0.038-0.16-0.087-0.016-0.003-0.069-0.016-0.024-0.009-0.26-0.087-0.005-0.009-0.173-0.009-0.032-0.021-0.024-0.009-0.009-0.012-0.002</f>
        <v>7.1229999999999984</v>
      </c>
    </row>
    <row r="1015" spans="1:5" x14ac:dyDescent="0.3">
      <c r="A1015" s="10">
        <v>76</v>
      </c>
      <c r="B1015" s="10">
        <v>5</v>
      </c>
      <c r="C1015" s="10">
        <v>20</v>
      </c>
      <c r="D1015" s="10" t="s">
        <v>1</v>
      </c>
      <c r="E1015" s="15">
        <f>1.693-0.101+0.445+5.048-0.02-0.026+0.5-0.02-0.01-0.03-0.054-0.011-0.02-0.04-0.004-0.025-0.025-0.176-0.002-0.007-0.03-0.1-0.02-0.03-0.011-0.009-0.011-0.01-0.011-0.003-0.025-0.03</f>
        <v>6.8250000000000002</v>
      </c>
    </row>
    <row r="1016" spans="1:5" x14ac:dyDescent="0.3">
      <c r="A1016" s="10">
        <v>76</v>
      </c>
      <c r="B1016" s="10">
        <v>5</v>
      </c>
      <c r="C1016" s="10" t="s">
        <v>26</v>
      </c>
      <c r="D1016" s="10" t="s">
        <v>1</v>
      </c>
      <c r="E1016" s="15">
        <f>4.844+0.181-0.01-0.101+1.29-0.007-0.034-0.011-0.015-0.101-0.006-0.205-0.008-0.011+1.366-0.021-0.016-0.011+0.152-0.006-0.003-0.021-0.02</f>
        <v>7.2260000000000009</v>
      </c>
    </row>
    <row r="1017" spans="1:5" x14ac:dyDescent="0.3">
      <c r="A1017" s="10">
        <v>76</v>
      </c>
      <c r="B1017" s="10">
        <v>6</v>
      </c>
      <c r="C1017" s="10">
        <v>20</v>
      </c>
      <c r="D1017" s="10" t="s">
        <v>1</v>
      </c>
      <c r="E1017" s="15">
        <f>7.188+0.101-0.033-0.033-0.006-0.086-0.014-0.012-0.014-0.004-0.065+0.216-0.005-0.006-0.009-0.012-0.023-0.012-0.023-0.028-0.023-0.012-0.023-0.006-0.027-0.055-0.013-0.15-0.027-0.002-0.004-0.007-0.012-0.012-0.007-0.006</f>
        <v>6.7340000000000027</v>
      </c>
    </row>
    <row r="1018" spans="1:5" x14ac:dyDescent="0.3">
      <c r="A1018" s="24">
        <v>76</v>
      </c>
      <c r="B1018" s="24">
        <v>6</v>
      </c>
      <c r="C1018" s="24">
        <v>20</v>
      </c>
      <c r="D1018" s="24" t="s">
        <v>32</v>
      </c>
      <c r="E1018" s="25">
        <f>4.63-0.331-0.008-0.235+0.267-0.007-0.22</f>
        <v>4.0960000000000001</v>
      </c>
    </row>
    <row r="1019" spans="1:5" x14ac:dyDescent="0.3">
      <c r="A1019" s="10">
        <v>76</v>
      </c>
      <c r="B1019" s="10">
        <v>6</v>
      </c>
      <c r="C1019" s="10" t="s">
        <v>26</v>
      </c>
      <c r="D1019" s="10" t="s">
        <v>64</v>
      </c>
      <c r="E1019" s="15">
        <f>5.537-0.002-0.1-0.358-0.016-0.26-0.047-0.18-0.023-0.022-0.273-0.022-0.022-0.01-0.044-0.038-0.006-0.14-0.014+0.104-0.023-0.091-0.093-0.09-0.087-0.017-0.552-0.553-0.038-0.012-0.095-0.014-0.175-0.033-0.012-0.022-0.009-0.139-0.179-0.014-0.065-0.066-0.033-0.022-0.101-0.015-0.017-0.033-0.1-0.004-0.075-0.267-0.023-0.093-0.19-0.093-0.005-0.171-0.019-0.091-0.066-0.022-0.028-0.35-0.061+0.371-0.1-0.025</f>
        <v>5.2000000000003314E-2</v>
      </c>
    </row>
    <row r="1020" spans="1:5" x14ac:dyDescent="0.3">
      <c r="A1020" s="10">
        <v>76</v>
      </c>
      <c r="B1020" s="10">
        <v>6</v>
      </c>
      <c r="C1020" s="10" t="s">
        <v>26</v>
      </c>
      <c r="D1020" s="10" t="s">
        <v>1</v>
      </c>
      <c r="E1020" s="15">
        <f>5.27-0.066-0.012-0.095-0.096-0.095-0.092-0.006-0.023-0.036-0.004-0.1-0.045-0.012-0.06-0.012-0.28-0.023-0.05-0.189-0.015-0.184-0.034-0.015-0.029-0.049-0.022-0.091-0.025-0.012-0.01-0.014-0.005-0.012-0.056-0.023-0.094-0.007-0.012-0.005+0.58-0.05-0.021-0.008-0.063-0.015-0.059-0.015-0.003-0.153-0.016-0.02-0.018-0.028-0.006-0.008-0.033+1.33-0.043-0.005-0.013-0.033-0.04-0.03-0.149-0.023-0.003-0.01-0.011-0.008+0.346-0.066-0.089-0.01-0.012-0.006-0.007-0.018-0.047-0.125-0.007-0.003-0.024-0.012-0.006-0.047-0.013-0.018-0.073-0.101-0.07-0.014+2.545-0.012</f>
        <v>6.3970000000000065</v>
      </c>
    </row>
    <row r="1021" spans="1:5" x14ac:dyDescent="0.3">
      <c r="A1021" s="12">
        <v>76</v>
      </c>
      <c r="B1021" s="12">
        <v>6</v>
      </c>
      <c r="C1021" s="12">
        <v>35</v>
      </c>
      <c r="D1021" s="8" t="s">
        <v>1</v>
      </c>
      <c r="E1021" s="15">
        <v>5</v>
      </c>
    </row>
    <row r="1022" spans="1:5" x14ac:dyDescent="0.3">
      <c r="A1022" s="12">
        <v>76</v>
      </c>
      <c r="B1022" s="12">
        <v>6</v>
      </c>
      <c r="C1022" s="12">
        <v>45</v>
      </c>
      <c r="D1022" s="8" t="s">
        <v>1</v>
      </c>
      <c r="E1022" s="15">
        <v>5</v>
      </c>
    </row>
    <row r="1023" spans="1:5" x14ac:dyDescent="0.3">
      <c r="A1023" s="10">
        <v>76</v>
      </c>
      <c r="B1023" s="10">
        <v>6</v>
      </c>
      <c r="C1023" s="10" t="s">
        <v>28</v>
      </c>
      <c r="D1023" s="10" t="s">
        <v>1</v>
      </c>
      <c r="E1023" s="15">
        <f>5.31-0.189-0.298-1-0.012-0.092-1.27-0.033-1.455-0.1-0.11</f>
        <v>0.75099999999999945</v>
      </c>
    </row>
    <row r="1024" spans="1:5" x14ac:dyDescent="0.3">
      <c r="A1024" s="10">
        <v>76</v>
      </c>
      <c r="B1024" s="10">
        <v>6</v>
      </c>
      <c r="C1024" s="10" t="s">
        <v>31</v>
      </c>
      <c r="D1024" s="10" t="s">
        <v>32</v>
      </c>
      <c r="E1024" s="15">
        <f>5.17-0.423-0.005-0.006-0.118-0.463-2-0.351-0.36-0.019-0.71-0.236</f>
        <v>0.47899999999999965</v>
      </c>
    </row>
    <row r="1025" spans="1:5" x14ac:dyDescent="0.3">
      <c r="A1025" s="10">
        <v>76</v>
      </c>
      <c r="B1025" s="10">
        <v>6</v>
      </c>
      <c r="C1025" s="10" t="s">
        <v>29</v>
      </c>
      <c r="D1025" s="10" t="s">
        <v>3</v>
      </c>
      <c r="E1025" s="15">
        <f>1.7+3.3-0.006-0.012-0.012-0.012</f>
        <v>4.9580000000000011</v>
      </c>
    </row>
    <row r="1026" spans="1:5" x14ac:dyDescent="0.3">
      <c r="A1026" s="12">
        <v>76</v>
      </c>
      <c r="B1026" s="12">
        <v>7</v>
      </c>
      <c r="C1026" s="12" t="s">
        <v>26</v>
      </c>
      <c r="D1026" s="8" t="s">
        <v>1</v>
      </c>
      <c r="E1026" s="15">
        <f>2.204-0.008-0.027-0.112-0.027-0.103</f>
        <v>1.9269999999999998</v>
      </c>
    </row>
    <row r="1027" spans="1:5" x14ac:dyDescent="0.3">
      <c r="A1027" s="8">
        <v>76</v>
      </c>
      <c r="B1027" s="8">
        <v>7</v>
      </c>
      <c r="C1027" s="8" t="s">
        <v>35</v>
      </c>
      <c r="D1027" s="8" t="s">
        <v>32</v>
      </c>
      <c r="E1027" s="9">
        <f>4.352-0.36-1.204-0.071-0.135+3.714</f>
        <v>6.2959999999999994</v>
      </c>
    </row>
    <row r="1028" spans="1:5" x14ac:dyDescent="0.3">
      <c r="A1028" s="8">
        <v>76</v>
      </c>
      <c r="B1028" s="8">
        <v>7</v>
      </c>
      <c r="C1028" s="8" t="s">
        <v>29</v>
      </c>
      <c r="D1028" s="8" t="s">
        <v>3</v>
      </c>
      <c r="E1028" s="9">
        <f>0.24+0.117-0.039-0.24</f>
        <v>7.8000000000000014E-2</v>
      </c>
    </row>
    <row r="1029" spans="1:5" x14ac:dyDescent="0.3">
      <c r="A1029" s="10">
        <v>76</v>
      </c>
      <c r="B1029" s="10">
        <v>8</v>
      </c>
      <c r="C1029" s="10">
        <v>20</v>
      </c>
      <c r="D1029" s="10" t="s">
        <v>1</v>
      </c>
      <c r="E1029" s="15">
        <f>4.856-0.008-0.015-0.134-0.157-0.025-0.058-0.015-0.051-0.158-0.005-0.015-0.015-0.158-0.006-0.015-0.02-0.026-0.038-0.01-0.035-0.016-0.044-0.08-0.086-0.015-0.005-0.026-0.058-0.008-0.058-0.004-0.084-0.015</f>
        <v>3.3930000000000011</v>
      </c>
    </row>
    <row r="1030" spans="1:5" x14ac:dyDescent="0.3">
      <c r="A1030" s="10">
        <v>76</v>
      </c>
      <c r="B1030" s="10">
        <v>8</v>
      </c>
      <c r="C1030" s="10" t="s">
        <v>26</v>
      </c>
      <c r="D1030" s="10" t="s">
        <v>64</v>
      </c>
      <c r="E1030" s="15">
        <f>7.482-0.022-0.037-0.015-0.007-0.051-0.037-0.12-0.313+0.108-1.12-0.473-0.004-0.004-0.03-0.038-0.145-0.052-0.02-0.044-0.005-0.008-0.037-0.037-0.1-0.022-0.015-0.016-0.008+1.884-0.004-0.004-0.007+0.11-0.005-0.018+0.091-0.159-0.013-0.014+0.236-0.004</f>
        <v>6.9030000000000049</v>
      </c>
    </row>
    <row r="1031" spans="1:5" x14ac:dyDescent="0.3">
      <c r="A1031" s="8">
        <v>76</v>
      </c>
      <c r="B1031" s="8">
        <v>9</v>
      </c>
      <c r="C1031" s="8" t="s">
        <v>12</v>
      </c>
      <c r="D1031" s="8" t="s">
        <v>32</v>
      </c>
      <c r="E1031" s="9">
        <f>0.118+3.808</f>
        <v>3.9259999999999997</v>
      </c>
    </row>
    <row r="1032" spans="1:5" x14ac:dyDescent="0.3">
      <c r="A1032" s="8">
        <v>76</v>
      </c>
      <c r="B1032" s="8">
        <v>9</v>
      </c>
      <c r="C1032" s="8" t="s">
        <v>26</v>
      </c>
      <c r="D1032" s="8" t="s">
        <v>1</v>
      </c>
      <c r="E1032" s="9">
        <f>1.08-0.009-0.04-0.032</f>
        <v>0.99900000000000011</v>
      </c>
    </row>
    <row r="1033" spans="1:5" x14ac:dyDescent="0.3">
      <c r="A1033" s="8">
        <v>76</v>
      </c>
      <c r="B1033" s="8">
        <v>9</v>
      </c>
      <c r="C1033" s="8" t="s">
        <v>35</v>
      </c>
      <c r="D1033" s="8" t="s">
        <v>32</v>
      </c>
      <c r="E1033" s="9">
        <f>5.166+0.138-1.715+5.013+4.743</f>
        <v>13.345000000000001</v>
      </c>
    </row>
    <row r="1034" spans="1:5" x14ac:dyDescent="0.3">
      <c r="A1034" s="10">
        <v>76</v>
      </c>
      <c r="B1034" s="10">
        <v>9</v>
      </c>
      <c r="C1034" s="10">
        <v>45</v>
      </c>
      <c r="D1034" s="10" t="s">
        <v>1</v>
      </c>
      <c r="E1034" s="15">
        <v>0.28000000000000003</v>
      </c>
    </row>
    <row r="1035" spans="1:5" x14ac:dyDescent="0.3">
      <c r="A1035" s="10">
        <v>76</v>
      </c>
      <c r="B1035" s="10">
        <v>10</v>
      </c>
      <c r="C1035" s="10">
        <v>20</v>
      </c>
      <c r="D1035" s="10" t="s">
        <v>1</v>
      </c>
      <c r="E1035" s="15">
        <f>5.448-0.059-0.05-0.035-0.011-0.17-0.017-0.055-0.01-0.035-0.072-0.035-0.107-0.007-0.171-0.071-0.036-0.007-0.103-0.019-0.338-0.007-0.011-0.021-0.067-0.019-0.17-0.052-0.171-0.069-0.061-0.052-0.173-0.173-0.027-0.025-0.018-0.052+1.694-0.004-0.052-0.018</f>
        <v>4.4920000000000018</v>
      </c>
    </row>
    <row r="1036" spans="1:5" x14ac:dyDescent="0.3">
      <c r="A1036" s="10">
        <v>76</v>
      </c>
      <c r="B1036" s="10">
        <v>10</v>
      </c>
      <c r="C1036" s="10" t="s">
        <v>26</v>
      </c>
      <c r="D1036" s="10" t="s">
        <v>1</v>
      </c>
      <c r="E1036" s="15">
        <f>5.32-0.172-0.34-0.165-0.063-0.04-2.067-0.393-0.17-0.35-0.027-0.004-0.064-0.05-0.09-0.026-0.343-0.011-0.01-0.035-0.023-0.018-0.683-0.018-0.517+0.66-0.035-0.134-0.015-0.035-0.011-0.052</f>
        <v>1.9000000000000676E-2</v>
      </c>
    </row>
    <row r="1037" spans="1:5" x14ac:dyDescent="0.3">
      <c r="A1037" s="12">
        <v>76</v>
      </c>
      <c r="B1037" s="12">
        <v>10</v>
      </c>
      <c r="C1037" s="12" t="s">
        <v>26</v>
      </c>
      <c r="D1037" s="8" t="s">
        <v>64</v>
      </c>
      <c r="E1037" s="15">
        <f>5-0.052-0.344-0.035-0.06-0.015-0.018-0.026+5.08-0.087-0.103-0.005-0.039-0.01-0.174-0.176-0.053-0.036-0.005-0.019-0.063-0.035-0.052-0.09-0.96-0.34-0.079-0.019-0.35</f>
        <v>6.8350000000000009</v>
      </c>
    </row>
    <row r="1038" spans="1:5" x14ac:dyDescent="0.3">
      <c r="A1038" s="12">
        <v>76</v>
      </c>
      <c r="B1038" s="12">
        <v>10</v>
      </c>
      <c r="C1038" s="12">
        <v>35</v>
      </c>
      <c r="D1038" s="8" t="s">
        <v>1</v>
      </c>
      <c r="E1038" s="15">
        <v>5</v>
      </c>
    </row>
    <row r="1039" spans="1:5" x14ac:dyDescent="0.3">
      <c r="A1039" s="12">
        <v>76</v>
      </c>
      <c r="B1039" s="12">
        <v>10</v>
      </c>
      <c r="C1039" s="12">
        <v>45</v>
      </c>
      <c r="D1039" s="8" t="s">
        <v>1</v>
      </c>
      <c r="E1039" s="15">
        <v>5</v>
      </c>
    </row>
    <row r="1040" spans="1:5" x14ac:dyDescent="0.3">
      <c r="A1040" s="10">
        <v>76</v>
      </c>
      <c r="B1040" s="10">
        <v>10</v>
      </c>
      <c r="C1040" s="10" t="s">
        <v>30</v>
      </c>
      <c r="D1040" s="10" t="s">
        <v>1</v>
      </c>
      <c r="E1040" s="15">
        <f>5.73-0.086-0.153-0.153-0.067-0.46-0.018-0.134-1.01-0.308-0.152-0.164-0.154-0.035-0.306-1.87-0.152-0.089-0.08-0.306-0.07+0.2</f>
        <v>0.16300000000000059</v>
      </c>
    </row>
    <row r="1041" spans="1:5" x14ac:dyDescent="0.3">
      <c r="A1041" s="8">
        <v>76</v>
      </c>
      <c r="B1041" s="8">
        <v>10</v>
      </c>
      <c r="C1041" s="8" t="s">
        <v>30</v>
      </c>
      <c r="D1041" s="8" t="s">
        <v>1</v>
      </c>
      <c r="E1041" s="9">
        <v>8</v>
      </c>
    </row>
    <row r="1042" spans="1:5" x14ac:dyDescent="0.3">
      <c r="A1042" s="10">
        <v>76</v>
      </c>
      <c r="B1042" s="10">
        <v>10</v>
      </c>
      <c r="C1042" s="10" t="s">
        <v>31</v>
      </c>
      <c r="D1042" s="10" t="s">
        <v>32</v>
      </c>
      <c r="E1042" s="15">
        <f>4.93-0.104-0.052-0.008-0.424-0.207-0.1-0.008-0.055</f>
        <v>3.972</v>
      </c>
    </row>
    <row r="1043" spans="1:5" x14ac:dyDescent="0.3">
      <c r="A1043" s="10">
        <v>76</v>
      </c>
      <c r="B1043" s="10">
        <v>10</v>
      </c>
      <c r="C1043" s="10" t="s">
        <v>106</v>
      </c>
      <c r="D1043" s="10" t="s">
        <v>1</v>
      </c>
      <c r="E1043" s="15">
        <f>4.2-0.035-0.035</f>
        <v>4.13</v>
      </c>
    </row>
    <row r="1044" spans="1:5" x14ac:dyDescent="0.3">
      <c r="A1044" s="10">
        <v>76</v>
      </c>
      <c r="B1044" s="10">
        <v>12</v>
      </c>
      <c r="C1044" s="10">
        <v>20</v>
      </c>
      <c r="D1044" s="10" t="s">
        <v>1</v>
      </c>
      <c r="E1044" s="15">
        <f>5.052-0.061-0.174-0.022+0.061-1.034-0.091-0.031-0.031-0.047-0.086-0.042-0.684-0.053-0.021-0.021-0.078-0.011-0.052-0.174-0.041-0.092-0.041-0.342-0.14+2.908-0.004-0.022-0.066-0.105-0.081</f>
        <v>4.3739999999999988</v>
      </c>
    </row>
    <row r="1045" spans="1:5" x14ac:dyDescent="0.3">
      <c r="A1045" s="12">
        <v>76</v>
      </c>
      <c r="B1045" s="12">
        <v>12</v>
      </c>
      <c r="C1045" s="12">
        <v>20</v>
      </c>
      <c r="D1045" s="8" t="s">
        <v>1</v>
      </c>
      <c r="E1045" s="15">
        <v>0.153</v>
      </c>
    </row>
    <row r="1046" spans="1:5" x14ac:dyDescent="0.3">
      <c r="A1046" s="10">
        <v>76</v>
      </c>
      <c r="B1046" s="10">
        <v>12</v>
      </c>
      <c r="C1046" s="10">
        <v>20</v>
      </c>
      <c r="D1046" s="10" t="s">
        <v>110</v>
      </c>
      <c r="E1046" s="15">
        <v>0.128</v>
      </c>
    </row>
    <row r="1047" spans="1:5" x14ac:dyDescent="0.3">
      <c r="A1047" s="10">
        <v>76</v>
      </c>
      <c r="B1047" s="10">
        <v>12</v>
      </c>
      <c r="C1047" s="10">
        <v>20</v>
      </c>
      <c r="D1047" s="10" t="s">
        <v>4</v>
      </c>
      <c r="E1047" s="15">
        <f>2.354-0.032+0.111-0.013-0.041-0.059</f>
        <v>2.3200000000000003</v>
      </c>
    </row>
    <row r="1048" spans="1:5" x14ac:dyDescent="0.3">
      <c r="A1048" s="10">
        <v>76</v>
      </c>
      <c r="B1048" s="10">
        <v>12</v>
      </c>
      <c r="C1048" s="10" t="s">
        <v>26</v>
      </c>
      <c r="D1048" s="10" t="s">
        <v>1</v>
      </c>
      <c r="E1048" s="15">
        <f>10.09-0.165-0.63-0.08-0.027-0.025-0.04-0.021-0.04-0.16-0.483-0.011-0.021-0.644-0.195-0.161-0.04-0.009-0.03-0.076-0.162-0.118-0.059-0.04-1.07-0.094-0.021-0.012-0.011-0.161-0.011-0.021-0.157+0.01-0.163-0.022-0.01-0.006-0.021-0.025-0.021-0.162-0.118-0.136-0.092-0.118-0.021-0.161-0.16-0.021-0.02</f>
        <v>4.0279999999999996</v>
      </c>
    </row>
    <row r="1049" spans="1:5" x14ac:dyDescent="0.3">
      <c r="A1049" s="12">
        <v>76</v>
      </c>
      <c r="B1049" s="12">
        <v>12</v>
      </c>
      <c r="C1049" s="12">
        <v>35</v>
      </c>
      <c r="D1049" s="8" t="s">
        <v>1</v>
      </c>
      <c r="E1049" s="15">
        <v>7</v>
      </c>
    </row>
    <row r="1050" spans="1:5" x14ac:dyDescent="0.3">
      <c r="A1050" s="8">
        <v>76</v>
      </c>
      <c r="B1050" s="8">
        <v>12</v>
      </c>
      <c r="C1050" s="8">
        <v>45</v>
      </c>
      <c r="D1050" s="8" t="s">
        <v>1</v>
      </c>
      <c r="E1050" s="9">
        <v>5</v>
      </c>
    </row>
    <row r="1051" spans="1:5" x14ac:dyDescent="0.3">
      <c r="A1051" s="10">
        <v>76</v>
      </c>
      <c r="B1051" s="10">
        <v>12</v>
      </c>
      <c r="C1051" s="10" t="s">
        <v>28</v>
      </c>
      <c r="D1051" s="10" t="s">
        <v>1</v>
      </c>
      <c r="E1051" s="15">
        <f>5.245-0.53-0.129-1.76-0.535-0.542-0.35-0.027-0.045+0.36+0.73+2.405-0.343</f>
        <v>4.479000000000001</v>
      </c>
    </row>
    <row r="1052" spans="1:5" x14ac:dyDescent="0.3">
      <c r="A1052" s="10">
        <v>76</v>
      </c>
      <c r="B1052" s="10">
        <v>12</v>
      </c>
      <c r="C1052" s="10" t="s">
        <v>28</v>
      </c>
      <c r="D1052" s="10" t="s">
        <v>1</v>
      </c>
      <c r="E1052" s="15">
        <f>4.325-2.405</f>
        <v>1.9200000000000004</v>
      </c>
    </row>
    <row r="1053" spans="1:5" x14ac:dyDescent="0.3">
      <c r="A1053" s="10">
        <v>76</v>
      </c>
      <c r="B1053" s="10">
        <v>12</v>
      </c>
      <c r="C1053" s="10" t="s">
        <v>30</v>
      </c>
      <c r="D1053" s="10" t="s">
        <v>1</v>
      </c>
      <c r="E1053" s="15">
        <f>4.93-0.021-0.47-0.021-0.008-0.017-0.119</f>
        <v>4.274</v>
      </c>
    </row>
    <row r="1054" spans="1:5" x14ac:dyDescent="0.3">
      <c r="A1054" s="10">
        <v>76</v>
      </c>
      <c r="B1054" s="10">
        <v>14</v>
      </c>
      <c r="C1054" s="10">
        <v>20</v>
      </c>
      <c r="D1054" s="10" t="s">
        <v>1</v>
      </c>
      <c r="E1054" s="15">
        <f>4.91-0.046-0.023-0.36-0.047-0.158-0.135-0.045-0.248-0.089-0.274-1.07-0.028-0.079-0.037-0.082-0.069-0.015-0.26-0.005-0.166-0.006-0.072-0.535-0.024-0.163-0.008-0.046-0.02-0.122-0.322-0.067-0.047+2.59-0.16+2.57</f>
        <v>5.2419999999999991</v>
      </c>
    </row>
    <row r="1055" spans="1:5" x14ac:dyDescent="0.3">
      <c r="A1055" s="10">
        <v>76</v>
      </c>
      <c r="B1055" s="10">
        <v>14</v>
      </c>
      <c r="C1055" s="10" t="s">
        <v>26</v>
      </c>
      <c r="D1055" s="10" t="s">
        <v>1</v>
      </c>
      <c r="E1055" s="15">
        <f>5.09-0.352-0.035-0.045-0.27-0.016-0.023-0.035-0.168-0.023+1.316-0.075-0.171-0.17-0.351-0.038-0.51-0.453-0.024-2.22-0.114-0.076-0.17-0.2-0.114-0.1-0.045-0.089-0.177-0.056-0.174+0.15-0.009-0.046</f>
        <v>0.20699999999999957</v>
      </c>
    </row>
    <row r="1056" spans="1:5" x14ac:dyDescent="0.3">
      <c r="A1056" s="10">
        <v>76</v>
      </c>
      <c r="B1056" s="10">
        <v>14</v>
      </c>
      <c r="C1056" s="10" t="s">
        <v>26</v>
      </c>
      <c r="D1056" s="10" t="s">
        <v>64</v>
      </c>
      <c r="E1056" s="15">
        <f>2.92+2.465</f>
        <v>5.3849999999999998</v>
      </c>
    </row>
    <row r="1057" spans="1:5" x14ac:dyDescent="0.3">
      <c r="A1057" s="10">
        <v>76.099999999999994</v>
      </c>
      <c r="B1057" s="10">
        <v>14.2</v>
      </c>
      <c r="C1057" s="10" t="s">
        <v>21</v>
      </c>
      <c r="D1057" s="10" t="s">
        <v>64</v>
      </c>
      <c r="E1057" s="15">
        <f>0.635-0.132-0.268-0.012-0.023-0.097</f>
        <v>0.10299999999999998</v>
      </c>
    </row>
    <row r="1058" spans="1:5" x14ac:dyDescent="0.3">
      <c r="A1058" s="10">
        <v>76</v>
      </c>
      <c r="B1058" s="10">
        <v>14</v>
      </c>
      <c r="C1058" s="10">
        <v>45</v>
      </c>
      <c r="D1058" s="10" t="s">
        <v>1</v>
      </c>
      <c r="E1058" s="15">
        <f>5.5-0.138-0.068-0.053-0.005-0.122-0.094-0.184-0.142-0.539-0.25-0.041-0.1-0.062-0.004-0.12-0.14-0.244-0.284-0.275-0.138</f>
        <v>2.4970000000000003</v>
      </c>
    </row>
    <row r="1059" spans="1:5" x14ac:dyDescent="0.3">
      <c r="A1059" s="10">
        <v>76</v>
      </c>
      <c r="B1059" s="10">
        <v>14</v>
      </c>
      <c r="C1059" s="10" t="s">
        <v>28</v>
      </c>
      <c r="D1059" s="10" t="s">
        <v>1</v>
      </c>
      <c r="E1059" s="15">
        <f>5.2-1.565-3.14+2.075-0.174+2.56+2.525-0.105-0.237-3.545</f>
        <v>3.5939999999999994</v>
      </c>
    </row>
    <row r="1060" spans="1:5" x14ac:dyDescent="0.3">
      <c r="A1060" s="10">
        <v>76</v>
      </c>
      <c r="B1060" s="10">
        <v>14</v>
      </c>
      <c r="C1060" s="10" t="s">
        <v>30</v>
      </c>
      <c r="D1060" s="10" t="s">
        <v>1</v>
      </c>
      <c r="E1060" s="15">
        <v>5.7000000000000002E-2</v>
      </c>
    </row>
    <row r="1061" spans="1:5" x14ac:dyDescent="0.3">
      <c r="A1061" s="10">
        <v>76</v>
      </c>
      <c r="B1061" s="10">
        <v>14</v>
      </c>
      <c r="C1061" s="10" t="s">
        <v>30</v>
      </c>
      <c r="D1061" s="10" t="s">
        <v>1</v>
      </c>
      <c r="E1061" s="15">
        <f>4.84-0.179-0.081-2.08-0.024-0.535+1.235+0.15+2.305+2.132-0.181-1.107</f>
        <v>6.4749999999999996</v>
      </c>
    </row>
    <row r="1062" spans="1:5" x14ac:dyDescent="0.3">
      <c r="A1062" s="8">
        <v>76</v>
      </c>
      <c r="B1062" s="8">
        <v>16</v>
      </c>
      <c r="C1062" s="8">
        <v>20</v>
      </c>
      <c r="D1062" s="8" t="s">
        <v>1</v>
      </c>
      <c r="E1062" s="9">
        <v>5</v>
      </c>
    </row>
    <row r="1063" spans="1:5" x14ac:dyDescent="0.3">
      <c r="A1063" s="10">
        <v>76</v>
      </c>
      <c r="B1063" s="10">
        <v>16</v>
      </c>
      <c r="C1063" s="10" t="s">
        <v>26</v>
      </c>
      <c r="D1063" s="10" t="s">
        <v>1</v>
      </c>
      <c r="E1063" s="15">
        <f>2.81-0.019+2.43-0.026-0.1-0.195-0.014-0.39-0.027-0.069-0.031-0.075-0.004-0.041-0.155-0.39-0.038-0.026-0.17-0.195-0.106-0.195-0.026-0.195-0.026-0.195-0.051-0.046-0.027-0.195-0.027-0.026-0.019-0.026-0.123-0.075-0.025-0.39-0.583-0.072-0.075-0.05-0.009-0.047-0.07-0.126-0.008-0.19-0.075</f>
        <v>0.19700000000000206</v>
      </c>
    </row>
    <row r="1064" spans="1:5" x14ac:dyDescent="0.3">
      <c r="A1064" s="10">
        <v>76.099999999999994</v>
      </c>
      <c r="B1064" s="10">
        <v>16</v>
      </c>
      <c r="C1064" s="10" t="s">
        <v>21</v>
      </c>
      <c r="D1064" s="10" t="s">
        <v>64</v>
      </c>
      <c r="E1064" s="15">
        <f>2.845-0.146-1-0.15-0.098-0.146-0.43-0.292-0.43-0.049</f>
        <v>0.10400000000000041</v>
      </c>
    </row>
    <row r="1065" spans="1:5" x14ac:dyDescent="0.3">
      <c r="A1065" s="8">
        <v>76</v>
      </c>
      <c r="B1065" s="8">
        <v>16</v>
      </c>
      <c r="C1065" s="8" t="s">
        <v>28</v>
      </c>
      <c r="D1065" s="8" t="s">
        <v>1</v>
      </c>
      <c r="E1065" s="9">
        <f>5.04-1.56-0.386-0.099-0.2+5.06-0.039-0.038-0.198</f>
        <v>7.5799999999999983</v>
      </c>
    </row>
    <row r="1066" spans="1:5" x14ac:dyDescent="0.3">
      <c r="A1066" s="10">
        <v>76</v>
      </c>
      <c r="B1066" s="10">
        <v>17</v>
      </c>
      <c r="C1066" s="10">
        <v>45</v>
      </c>
      <c r="D1066" s="10" t="s">
        <v>1</v>
      </c>
      <c r="E1066" s="15">
        <f>6.275-0.202-0.203-0.055-0.199-0.394-0.2-0.069-0.112-0.068-0.198-0.028</f>
        <v>4.5470000000000006</v>
      </c>
    </row>
    <row r="1067" spans="1:5" x14ac:dyDescent="0.3">
      <c r="A1067" s="8">
        <v>76</v>
      </c>
      <c r="B1067" s="8">
        <v>18</v>
      </c>
      <c r="C1067" s="8">
        <v>20</v>
      </c>
      <c r="D1067" s="8" t="s">
        <v>1</v>
      </c>
      <c r="E1067" s="9">
        <v>5</v>
      </c>
    </row>
    <row r="1068" spans="1:5" x14ac:dyDescent="0.3">
      <c r="A1068" s="10">
        <v>76</v>
      </c>
      <c r="B1068" s="10">
        <v>18</v>
      </c>
      <c r="C1068" s="10" t="s">
        <v>26</v>
      </c>
      <c r="D1068" s="10" t="s">
        <v>1</v>
      </c>
      <c r="E1068" s="15">
        <f>10.28-0.312+5.57-0.023-0.041-0.055-0.16-0.041-0.028-0.016-0.068-0.56-0.6-0.465-0.835-0.068-0.512+0.005-0.586-0.086-0.113-0.058-0.113-0.066-0.028-0.406-0.167-0.028-0.028-0.42-0.142-0.006-0.069-0.029-1.209-0.107-0.098-0.173-0.059-0.173-0.532-0.418-0.082-0.56-0.028</f>
        <v>6.2869999999999999</v>
      </c>
    </row>
    <row r="1069" spans="1:5" x14ac:dyDescent="0.3">
      <c r="A1069" s="10">
        <v>76</v>
      </c>
      <c r="B1069" s="10">
        <v>18</v>
      </c>
      <c r="C1069" s="10">
        <v>35</v>
      </c>
      <c r="D1069" s="10" t="s">
        <v>1</v>
      </c>
      <c r="E1069" s="15">
        <f>5.24+4.96+0.21-0.226-0.081-0.117-0.054-1.55-0.054-0.028-0.45-0.451-1.025-0.119-0.224-0.225-0.042-0.226-0.107-0.451</f>
        <v>4.9799999999999978</v>
      </c>
    </row>
    <row r="1070" spans="1:5" x14ac:dyDescent="0.3">
      <c r="A1070" s="10">
        <v>76</v>
      </c>
      <c r="B1070" s="10">
        <v>18</v>
      </c>
      <c r="C1070" s="10">
        <v>45</v>
      </c>
      <c r="D1070" s="10" t="s">
        <v>1</v>
      </c>
      <c r="E1070" s="15">
        <f>4.54+0.44-0.024-2.26-0.195-0.054-0.071-0.067-0.138+0.153-0.195-0.058-0.028-0.158-0.037-0.974-0.028-0.041-0.08-0.18-0.155-0.195-0.23+0.061</f>
        <v>2.6000000000001217E-2</v>
      </c>
    </row>
    <row r="1071" spans="1:5" x14ac:dyDescent="0.3">
      <c r="A1071" s="10">
        <v>76</v>
      </c>
      <c r="B1071" s="10">
        <v>18</v>
      </c>
      <c r="C1071" s="10">
        <v>45</v>
      </c>
      <c r="D1071" s="10" t="s">
        <v>1</v>
      </c>
      <c r="E1071" s="15">
        <f>5.4+5.56-9.942+0.22+0.246-0.028-0.888-0.12-0.015-0.032-0.247+0.043-0.067-0.007-0.032-0.148+0.1</f>
        <v>4.3000000000000566E-2</v>
      </c>
    </row>
    <row r="1072" spans="1:5" x14ac:dyDescent="0.3">
      <c r="A1072" s="8">
        <v>76</v>
      </c>
      <c r="B1072" s="8">
        <v>18</v>
      </c>
      <c r="C1072" s="8">
        <v>45</v>
      </c>
      <c r="D1072" s="8" t="s">
        <v>1</v>
      </c>
      <c r="E1072" s="9">
        <v>5</v>
      </c>
    </row>
    <row r="1073" spans="1:5" x14ac:dyDescent="0.3">
      <c r="A1073" s="10">
        <v>76</v>
      </c>
      <c r="B1073" s="10">
        <v>18</v>
      </c>
      <c r="C1073" s="10" t="s">
        <v>28</v>
      </c>
      <c r="D1073" s="10" t="s">
        <v>1</v>
      </c>
      <c r="E1073" s="15">
        <f>4.82-0.041-0.107-0.054-0.041-0.159-0.035-2.12-0.004</f>
        <v>2.258999999999999</v>
      </c>
    </row>
    <row r="1074" spans="1:5" x14ac:dyDescent="0.3">
      <c r="A1074" s="10">
        <v>76</v>
      </c>
      <c r="B1074" s="10">
        <v>18</v>
      </c>
      <c r="C1074" s="10" t="s">
        <v>30</v>
      </c>
      <c r="D1074" s="10" t="s">
        <v>1</v>
      </c>
      <c r="E1074" s="15">
        <f>1.9+1.775-0.107-1.201-0.129</f>
        <v>2.2379999999999995</v>
      </c>
    </row>
    <row r="1075" spans="1:5" x14ac:dyDescent="0.3">
      <c r="A1075" s="10">
        <v>76</v>
      </c>
      <c r="B1075" s="10">
        <v>18</v>
      </c>
      <c r="C1075" s="10" t="s">
        <v>30</v>
      </c>
      <c r="D1075" s="10" t="s">
        <v>1</v>
      </c>
      <c r="E1075" s="15">
        <v>1.875</v>
      </c>
    </row>
    <row r="1076" spans="1:5" x14ac:dyDescent="0.3">
      <c r="A1076" s="8">
        <v>76</v>
      </c>
      <c r="B1076" s="8">
        <v>20</v>
      </c>
      <c r="C1076" s="8">
        <v>20</v>
      </c>
      <c r="D1076" s="8" t="s">
        <v>1</v>
      </c>
      <c r="E1076" s="9">
        <v>5</v>
      </c>
    </row>
    <row r="1077" spans="1:5" x14ac:dyDescent="0.3">
      <c r="A1077" s="10">
        <v>76</v>
      </c>
      <c r="B1077" s="10">
        <v>20</v>
      </c>
      <c r="C1077" s="10" t="s">
        <v>26</v>
      </c>
      <c r="D1077" s="10" t="s">
        <v>1</v>
      </c>
      <c r="E1077" s="15">
        <f>4.91-0.131-0.058-0.13-0.086-0.075-0.044-0.25</f>
        <v>4.1360000000000001</v>
      </c>
    </row>
    <row r="1078" spans="1:5" x14ac:dyDescent="0.3">
      <c r="A1078" s="10">
        <v>76</v>
      </c>
      <c r="B1078" s="10">
        <v>20</v>
      </c>
      <c r="C1078" s="10">
        <v>45</v>
      </c>
      <c r="D1078" s="10" t="s">
        <v>1</v>
      </c>
      <c r="E1078" s="15">
        <f>5.21-0.221-0.222-0.058-3.47</f>
        <v>1.2389999999999994</v>
      </c>
    </row>
    <row r="1079" spans="1:5" x14ac:dyDescent="0.3">
      <c r="A1079" s="8">
        <v>76</v>
      </c>
      <c r="B1079" s="8">
        <v>20</v>
      </c>
      <c r="C1079" s="8">
        <v>45</v>
      </c>
      <c r="D1079" s="8" t="s">
        <v>1</v>
      </c>
      <c r="E1079" s="9">
        <v>5</v>
      </c>
    </row>
    <row r="1080" spans="1:5" x14ac:dyDescent="0.3">
      <c r="A1080" s="10">
        <v>76</v>
      </c>
      <c r="B1080" s="10">
        <v>20</v>
      </c>
      <c r="C1080" s="10" t="s">
        <v>36</v>
      </c>
      <c r="D1080" s="10" t="s">
        <v>1</v>
      </c>
      <c r="E1080" s="15">
        <f>5.1-0.402-0.202-0.199</f>
        <v>4.2969999999999997</v>
      </c>
    </row>
    <row r="1081" spans="1:5" x14ac:dyDescent="0.3">
      <c r="A1081" s="10">
        <v>76</v>
      </c>
      <c r="B1081" s="10">
        <v>20</v>
      </c>
      <c r="C1081" s="10" t="s">
        <v>28</v>
      </c>
      <c r="D1081" s="10" t="s">
        <v>1</v>
      </c>
      <c r="E1081" s="15">
        <f>4.75-0.233-0.016-0.704-1.633-0.016-0.23-0.058</f>
        <v>1.8600000000000005</v>
      </c>
    </row>
    <row r="1082" spans="1:5" x14ac:dyDescent="0.3">
      <c r="A1082" s="10">
        <v>76</v>
      </c>
      <c r="B1082" s="10">
        <v>20</v>
      </c>
      <c r="C1082" s="10" t="s">
        <v>30</v>
      </c>
      <c r="D1082" s="10" t="s">
        <v>1</v>
      </c>
      <c r="E1082" s="15">
        <f>6.21-0.232-0.233-0.119-0.23-0.574-0.09</f>
        <v>4.7320000000000002</v>
      </c>
    </row>
    <row r="1083" spans="1:5" x14ac:dyDescent="0.3">
      <c r="A1083" s="8">
        <v>80</v>
      </c>
      <c r="B1083" s="8">
        <v>5</v>
      </c>
      <c r="C1083" s="8">
        <v>20</v>
      </c>
      <c r="D1083" s="8" t="s">
        <v>1</v>
      </c>
      <c r="E1083" s="9">
        <v>5</v>
      </c>
    </row>
    <row r="1084" spans="1:5" x14ac:dyDescent="0.3">
      <c r="A1084" s="10">
        <v>80</v>
      </c>
      <c r="B1084" s="10">
        <v>5</v>
      </c>
      <c r="C1084" s="10" t="s">
        <v>26</v>
      </c>
      <c r="D1084" s="10" t="s">
        <v>64</v>
      </c>
      <c r="E1084" s="15">
        <f>5.15-0.076-0.002-0.36-0.03-0.03-0.22-0.046-0.011-0.071-0.152-0.073-0.011-0.076-0.076-0.03-0.011-0.022-0.11-0.015-0.076-0.009-0.077</f>
        <v>3.5659999999999998</v>
      </c>
    </row>
    <row r="1085" spans="1:5" x14ac:dyDescent="0.3">
      <c r="A1085" s="8">
        <v>80</v>
      </c>
      <c r="B1085" s="8">
        <v>8</v>
      </c>
      <c r="C1085" s="8">
        <v>20</v>
      </c>
      <c r="D1085" s="8" t="s">
        <v>1</v>
      </c>
      <c r="E1085" s="9">
        <v>5</v>
      </c>
    </row>
    <row r="1086" spans="1:5" x14ac:dyDescent="0.3">
      <c r="A1086" s="8">
        <v>80</v>
      </c>
      <c r="B1086" s="8">
        <v>10</v>
      </c>
      <c r="C1086" s="8">
        <v>20</v>
      </c>
      <c r="D1086" s="8" t="s">
        <v>1</v>
      </c>
      <c r="E1086" s="9">
        <v>5</v>
      </c>
    </row>
    <row r="1087" spans="1:5" x14ac:dyDescent="0.3">
      <c r="A1087" s="8">
        <v>80</v>
      </c>
      <c r="B1087" s="8">
        <v>12</v>
      </c>
      <c r="C1087" s="8">
        <v>20</v>
      </c>
      <c r="D1087" s="8" t="s">
        <v>1</v>
      </c>
      <c r="E1087" s="9">
        <v>5</v>
      </c>
    </row>
    <row r="1088" spans="1:5" x14ac:dyDescent="0.3">
      <c r="A1088" s="8">
        <v>80</v>
      </c>
      <c r="B1088" s="8">
        <v>12</v>
      </c>
      <c r="C1088" s="8" t="s">
        <v>26</v>
      </c>
      <c r="D1088" s="8" t="s">
        <v>64</v>
      </c>
      <c r="E1088" s="9">
        <f>4.145-0.122-0.016-3.93-0.004-0.064</f>
        <v>8.9999999999995084E-3</v>
      </c>
    </row>
    <row r="1089" spans="1:5" x14ac:dyDescent="0.3">
      <c r="A1089" s="8">
        <v>80</v>
      </c>
      <c r="B1089" s="8">
        <v>12</v>
      </c>
      <c r="C1089" s="8" t="s">
        <v>26</v>
      </c>
      <c r="D1089" s="8" t="s">
        <v>64</v>
      </c>
      <c r="E1089" s="9">
        <f>3.93-0.121-0.132-0.043-0.078+0.375-0.064-0.132-0.085</f>
        <v>3.65</v>
      </c>
    </row>
    <row r="1090" spans="1:5" x14ac:dyDescent="0.3">
      <c r="A1090" s="10">
        <v>80</v>
      </c>
      <c r="B1090" s="10">
        <v>12</v>
      </c>
      <c r="C1090" s="10" t="s">
        <v>26</v>
      </c>
      <c r="D1090" s="10" t="s">
        <v>64</v>
      </c>
      <c r="E1090" s="15">
        <f>5-4.145-0.375</f>
        <v>0.48000000000000043</v>
      </c>
    </row>
    <row r="1091" spans="1:5" x14ac:dyDescent="0.3">
      <c r="A1091" s="8">
        <v>80</v>
      </c>
      <c r="B1091" s="8">
        <v>12</v>
      </c>
      <c r="C1091" s="8">
        <v>45</v>
      </c>
      <c r="D1091" s="8" t="s">
        <v>1</v>
      </c>
      <c r="E1091" s="9">
        <v>5</v>
      </c>
    </row>
    <row r="1092" spans="1:5" x14ac:dyDescent="0.3">
      <c r="A1092" s="10">
        <v>80</v>
      </c>
      <c r="B1092" s="10">
        <v>12</v>
      </c>
      <c r="C1092" s="10" t="s">
        <v>28</v>
      </c>
      <c r="D1092" s="10" t="s">
        <v>1</v>
      </c>
      <c r="E1092" s="15">
        <f>4.44+0.42+3.92-0.064+1.35-0.033-0.092-0.043-0.023-0.014-1.245-0.125-0.15-0.317</f>
        <v>8.0240000000000027</v>
      </c>
    </row>
    <row r="1093" spans="1:5" x14ac:dyDescent="0.3">
      <c r="A1093" s="10">
        <v>80</v>
      </c>
      <c r="B1093" s="10">
        <v>14</v>
      </c>
      <c r="C1093" s="10" t="s">
        <v>30</v>
      </c>
      <c r="D1093" s="10" t="s">
        <v>1</v>
      </c>
      <c r="E1093" s="15">
        <f>5.15-0.814-0.407-0.025-0.142-0.107</f>
        <v>3.6550000000000002</v>
      </c>
    </row>
    <row r="1094" spans="1:5" x14ac:dyDescent="0.3">
      <c r="A1094" s="8">
        <v>80</v>
      </c>
      <c r="B1094" s="8">
        <v>14</v>
      </c>
      <c r="C1094" s="8" t="s">
        <v>30</v>
      </c>
      <c r="D1094" s="8" t="s">
        <v>1</v>
      </c>
      <c r="E1094" s="9">
        <v>5</v>
      </c>
    </row>
    <row r="1095" spans="1:5" x14ac:dyDescent="0.3">
      <c r="A1095" s="8">
        <v>80</v>
      </c>
      <c r="B1095" s="8">
        <v>16</v>
      </c>
      <c r="C1095" s="8">
        <v>20</v>
      </c>
      <c r="D1095" s="8" t="s">
        <v>1</v>
      </c>
      <c r="E1095" s="9">
        <v>5</v>
      </c>
    </row>
    <row r="1096" spans="1:5" x14ac:dyDescent="0.3">
      <c r="A1096" s="10">
        <v>83</v>
      </c>
      <c r="B1096" s="10">
        <v>3.5</v>
      </c>
      <c r="C1096" s="13" t="s">
        <v>26</v>
      </c>
      <c r="D1096" s="10" t="s">
        <v>1</v>
      </c>
      <c r="E1096" s="15">
        <f>3.2-0.018-0.375+0.056-0.35-0.039-0.056-0.055-1.67-0.13-0.14-0.006-0.058-0.028-0.008-0.12-0.01-0.128+0.22-0.195-0.017-0.04</f>
        <v>3.3000000000000022E-2</v>
      </c>
    </row>
    <row r="1097" spans="1:5" x14ac:dyDescent="0.3">
      <c r="A1097" s="10">
        <v>83</v>
      </c>
      <c r="B1097" s="10">
        <v>3.5</v>
      </c>
      <c r="C1097" s="13" t="s">
        <v>26</v>
      </c>
      <c r="D1097" s="10" t="s">
        <v>1</v>
      </c>
      <c r="E1097" s="15">
        <f>0.04-0.009</f>
        <v>3.1E-2</v>
      </c>
    </row>
    <row r="1098" spans="1:5" x14ac:dyDescent="0.3">
      <c r="A1098" s="8">
        <v>83</v>
      </c>
      <c r="B1098" s="8">
        <v>4</v>
      </c>
      <c r="C1098" s="8">
        <v>20</v>
      </c>
      <c r="D1098" s="8" t="s">
        <v>1</v>
      </c>
      <c r="E1098" s="9">
        <v>5</v>
      </c>
    </row>
    <row r="1099" spans="1:5" x14ac:dyDescent="0.3">
      <c r="A1099" s="10">
        <v>83</v>
      </c>
      <c r="B1099" s="10">
        <v>4</v>
      </c>
      <c r="C1099" s="10">
        <v>20</v>
      </c>
      <c r="D1099" s="10" t="s">
        <v>8</v>
      </c>
      <c r="E1099" s="15">
        <f>2.26-0.009-0.052-0.003-0.003</f>
        <v>2.1929999999999996</v>
      </c>
    </row>
    <row r="1100" spans="1:5" x14ac:dyDescent="0.3">
      <c r="A1100" s="10">
        <v>83</v>
      </c>
      <c r="B1100" s="10">
        <v>4</v>
      </c>
      <c r="C1100" s="10" t="s">
        <v>26</v>
      </c>
      <c r="D1100" s="10" t="s">
        <v>64</v>
      </c>
      <c r="E1100" s="15">
        <f>4.708-0.009-0.064-0.016-0.01-0.006-0.005-0.272-0.018-0.084</f>
        <v>4.2240000000000002</v>
      </c>
    </row>
    <row r="1101" spans="1:5" x14ac:dyDescent="0.3">
      <c r="A1101" s="10">
        <v>83</v>
      </c>
      <c r="B1101" s="10">
        <v>4</v>
      </c>
      <c r="C1101" s="10" t="s">
        <v>26</v>
      </c>
      <c r="D1101" s="10" t="s">
        <v>2</v>
      </c>
      <c r="E1101" s="15">
        <v>0.104</v>
      </c>
    </row>
    <row r="1102" spans="1:5" x14ac:dyDescent="0.3">
      <c r="A1102" s="10">
        <v>83</v>
      </c>
      <c r="B1102" s="10">
        <v>4</v>
      </c>
      <c r="C1102" s="10">
        <v>35</v>
      </c>
      <c r="D1102" s="10" t="s">
        <v>1</v>
      </c>
      <c r="E1102" s="15">
        <f>1.12-0.25-0.084-0.026-0.083</f>
        <v>0.67700000000000016</v>
      </c>
    </row>
    <row r="1103" spans="1:5" x14ac:dyDescent="0.3">
      <c r="A1103" s="12">
        <v>83</v>
      </c>
      <c r="B1103" s="12">
        <v>4</v>
      </c>
      <c r="C1103" s="12">
        <v>35</v>
      </c>
      <c r="D1103" s="8" t="s">
        <v>1</v>
      </c>
      <c r="E1103" s="15">
        <v>5</v>
      </c>
    </row>
    <row r="1104" spans="1:5" x14ac:dyDescent="0.3">
      <c r="A1104" s="12">
        <v>83</v>
      </c>
      <c r="B1104" s="12">
        <v>4</v>
      </c>
      <c r="C1104" s="12">
        <v>45</v>
      </c>
      <c r="D1104" s="8" t="s">
        <v>1</v>
      </c>
      <c r="E1104" s="15">
        <v>5</v>
      </c>
    </row>
    <row r="1105" spans="1:5" x14ac:dyDescent="0.3">
      <c r="A1105" s="8">
        <v>83</v>
      </c>
      <c r="B1105" s="8">
        <v>5</v>
      </c>
      <c r="C1105" s="10">
        <v>20</v>
      </c>
      <c r="D1105" s="10" t="s">
        <v>1</v>
      </c>
      <c r="E1105" s="9">
        <f>0.071-0.011-0.004-0.016+3.885-0.01-0.007-0.007-0.01-0.109-0.081-0.017-0.037-0.37-0.012-0.104-0.022-0.095-0.011-0.025-0.011-0.011-0.004</f>
        <v>2.9819999999999998</v>
      </c>
    </row>
    <row r="1106" spans="1:5" x14ac:dyDescent="0.3">
      <c r="A1106" s="12">
        <v>83</v>
      </c>
      <c r="B1106" s="12">
        <v>5</v>
      </c>
      <c r="C1106" s="12" t="s">
        <v>12</v>
      </c>
      <c r="D1106" s="8" t="s">
        <v>32</v>
      </c>
      <c r="E1106" s="15">
        <v>5</v>
      </c>
    </row>
    <row r="1107" spans="1:5" x14ac:dyDescent="0.3">
      <c r="A1107" s="10">
        <v>83</v>
      </c>
      <c r="B1107" s="10">
        <v>5</v>
      </c>
      <c r="C1107" s="10" t="s">
        <v>26</v>
      </c>
      <c r="D1107" s="10" t="s">
        <v>1</v>
      </c>
      <c r="E1107" s="15">
        <f>5.23-0.119-0.011-0.12-0.239-0.05-0.062-0.032-0.12-0.355-0.032-0.057-0.011-0.008-0.063-0.011-0.239-0.006+0.115-0.055-0.013-0.02-0.118-0.12-0.477-0.048-0.34-0.013-0.045-0.239-0.119-0.012-0.006-0.032-0.004-0.032-0.011-0.011</f>
        <v>2.0950000000000002</v>
      </c>
    </row>
    <row r="1108" spans="1:5" x14ac:dyDescent="0.3">
      <c r="A1108" s="8">
        <v>83</v>
      </c>
      <c r="B1108" s="8">
        <v>6</v>
      </c>
      <c r="C1108" s="8">
        <v>20</v>
      </c>
      <c r="D1108" s="8" t="s">
        <v>1</v>
      </c>
      <c r="E1108" s="9">
        <f>0.668-0.139-0.037-0.036-0.139</f>
        <v>0.31700000000000006</v>
      </c>
    </row>
    <row r="1109" spans="1:5" x14ac:dyDescent="0.3">
      <c r="A1109" s="8">
        <v>83</v>
      </c>
      <c r="B1109" s="8">
        <v>6</v>
      </c>
      <c r="C1109" s="8">
        <v>20</v>
      </c>
      <c r="D1109" s="8" t="s">
        <v>1</v>
      </c>
      <c r="E1109" s="9">
        <v>5</v>
      </c>
    </row>
    <row r="1110" spans="1:5" x14ac:dyDescent="0.3">
      <c r="A1110" s="12">
        <v>83</v>
      </c>
      <c r="B1110" s="12">
        <v>6</v>
      </c>
      <c r="C1110" s="12" t="s">
        <v>26</v>
      </c>
      <c r="D1110" s="8" t="s">
        <v>64</v>
      </c>
      <c r="E1110" s="15">
        <v>5</v>
      </c>
    </row>
    <row r="1111" spans="1:5" x14ac:dyDescent="0.3">
      <c r="A1111" s="12">
        <v>83</v>
      </c>
      <c r="B1111" s="12">
        <v>6</v>
      </c>
      <c r="C1111" s="12">
        <v>35</v>
      </c>
      <c r="D1111" s="8" t="s">
        <v>1</v>
      </c>
      <c r="E1111" s="15">
        <v>5</v>
      </c>
    </row>
    <row r="1112" spans="1:5" x14ac:dyDescent="0.3">
      <c r="A1112" s="12">
        <v>83</v>
      </c>
      <c r="B1112" s="12">
        <v>6</v>
      </c>
      <c r="C1112" s="12">
        <v>45</v>
      </c>
      <c r="D1112" s="8" t="s">
        <v>1</v>
      </c>
      <c r="E1112" s="15">
        <v>5</v>
      </c>
    </row>
    <row r="1113" spans="1:5" x14ac:dyDescent="0.3">
      <c r="A1113" s="10">
        <v>83</v>
      </c>
      <c r="B1113" s="10">
        <v>6</v>
      </c>
      <c r="C1113" s="10" t="s">
        <v>28</v>
      </c>
      <c r="D1113" s="10" t="s">
        <v>1</v>
      </c>
      <c r="E1113" s="15">
        <f>5.16-0.013-0.019-2.3-0.11+4.925-0.013-0.343</f>
        <v>7.2870000000000008</v>
      </c>
    </row>
    <row r="1114" spans="1:5" x14ac:dyDescent="0.3">
      <c r="A1114" s="10">
        <v>83</v>
      </c>
      <c r="B1114" s="10">
        <v>6</v>
      </c>
      <c r="C1114" s="10" t="s">
        <v>30</v>
      </c>
      <c r="D1114" s="10" t="s">
        <v>1</v>
      </c>
      <c r="E1114" s="15">
        <f>5.16-0.026-0.026-0.443</f>
        <v>4.6650000000000009</v>
      </c>
    </row>
    <row r="1115" spans="1:5" x14ac:dyDescent="0.3">
      <c r="A1115" s="8">
        <v>83</v>
      </c>
      <c r="B1115" s="8">
        <v>6</v>
      </c>
      <c r="C1115" s="8" t="s">
        <v>29</v>
      </c>
      <c r="D1115" s="8" t="s">
        <v>3</v>
      </c>
      <c r="E1115" s="9">
        <f>5.06-0.113</f>
        <v>4.9469999999999992</v>
      </c>
    </row>
    <row r="1116" spans="1:5" x14ac:dyDescent="0.3">
      <c r="A1116" s="8">
        <v>83</v>
      </c>
      <c r="B1116" s="8">
        <v>8</v>
      </c>
      <c r="C1116" s="8">
        <v>20</v>
      </c>
      <c r="D1116" s="8" t="s">
        <v>1</v>
      </c>
      <c r="E1116" s="9">
        <f>1.086-0.103-0.103-0.103-0.05-0.017+0.049-0.047-0.017-0.024-0.07-0.035-0.009-0.049-0.078-0.016-0.017-0.006</f>
        <v>0.39099999999999985</v>
      </c>
    </row>
    <row r="1117" spans="1:5" x14ac:dyDescent="0.3">
      <c r="A1117" s="8">
        <v>83</v>
      </c>
      <c r="B1117" s="8">
        <v>8</v>
      </c>
      <c r="C1117" s="8">
        <v>20</v>
      </c>
      <c r="D1117" s="8" t="s">
        <v>1</v>
      </c>
      <c r="E1117" s="9">
        <v>5</v>
      </c>
    </row>
    <row r="1118" spans="1:5" x14ac:dyDescent="0.3">
      <c r="A1118" s="10">
        <v>83</v>
      </c>
      <c r="B1118" s="10">
        <v>8</v>
      </c>
      <c r="C1118" s="10" t="s">
        <v>26</v>
      </c>
      <c r="D1118" s="10" t="s">
        <v>64</v>
      </c>
      <c r="E1118" s="15">
        <f>5.525-0.134-0.021-0.063-0.033-0.032-0.006-0.254-0.126-0.01-0.26-0.133-0.015-0.27-0.032-0.003-0.016-0.134-0.135-0.134-0.032-0.017-0.032-0.013-0.026-0.033-0.007-0.026-0.133-0.151-0.133-0.104-0.047-0.235-0.009-0.047-0.024-0.133-0.08-0.041-0.133-0.133-0.047-0.016-0.017-0.018-0.009-0.128-0.07-0.024-0.009-0.004-0.135-0.034-0.134-0.015-0.135</f>
        <v>1.3299999999999996</v>
      </c>
    </row>
    <row r="1119" spans="1:5" x14ac:dyDescent="0.3">
      <c r="A1119" s="12">
        <v>83</v>
      </c>
      <c r="B1119" s="12">
        <v>8</v>
      </c>
      <c r="C1119" s="12" t="s">
        <v>26</v>
      </c>
      <c r="D1119" s="8" t="s">
        <v>64</v>
      </c>
      <c r="E1119" s="15">
        <v>5</v>
      </c>
    </row>
    <row r="1120" spans="1:5" x14ac:dyDescent="0.3">
      <c r="A1120" s="12">
        <v>83</v>
      </c>
      <c r="B1120" s="12">
        <v>8</v>
      </c>
      <c r="C1120" s="12" t="s">
        <v>35</v>
      </c>
      <c r="D1120" s="8" t="s">
        <v>32</v>
      </c>
      <c r="E1120" s="15">
        <v>5</v>
      </c>
    </row>
    <row r="1121" spans="1:5" x14ac:dyDescent="0.3">
      <c r="A1121" s="12">
        <v>83</v>
      </c>
      <c r="B1121" s="12">
        <v>8</v>
      </c>
      <c r="C1121" s="12">
        <v>35</v>
      </c>
      <c r="D1121" s="8" t="s">
        <v>1</v>
      </c>
      <c r="E1121" s="15">
        <v>5</v>
      </c>
    </row>
    <row r="1122" spans="1:5" x14ac:dyDescent="0.3">
      <c r="A1122" s="12">
        <v>83</v>
      </c>
      <c r="B1122" s="12">
        <v>8</v>
      </c>
      <c r="C1122" s="12">
        <v>45</v>
      </c>
      <c r="D1122" s="8" t="s">
        <v>1</v>
      </c>
      <c r="E1122" s="15">
        <v>5</v>
      </c>
    </row>
    <row r="1123" spans="1:5" x14ac:dyDescent="0.3">
      <c r="A1123" s="8">
        <v>83</v>
      </c>
      <c r="B1123" s="8">
        <v>8</v>
      </c>
      <c r="C1123" s="8" t="s">
        <v>30</v>
      </c>
      <c r="D1123" s="8" t="s">
        <v>1</v>
      </c>
      <c r="E1123" s="9">
        <v>5</v>
      </c>
    </row>
    <row r="1124" spans="1:5" x14ac:dyDescent="0.3">
      <c r="A1124" s="10">
        <v>83</v>
      </c>
      <c r="B1124" s="10">
        <v>9</v>
      </c>
      <c r="C1124" s="10" t="s">
        <v>28</v>
      </c>
      <c r="D1124" s="10" t="s">
        <v>1</v>
      </c>
      <c r="E1124" s="15">
        <f>1.39+2.84-0.473+2.79-0.318-0.157-0.018</f>
        <v>6.0540000000000003</v>
      </c>
    </row>
    <row r="1125" spans="1:5" x14ac:dyDescent="0.3">
      <c r="A1125" s="10">
        <v>83</v>
      </c>
      <c r="B1125" s="10">
        <v>10</v>
      </c>
      <c r="C1125" s="10">
        <v>20</v>
      </c>
      <c r="D1125" s="10" t="s">
        <v>1</v>
      </c>
      <c r="E1125" s="15">
        <f>5.425+0.194-0.086-0.094-0.401-0.038-0.16-0.006-0.01-0.02-0.076-0.097-0.395-0.057-0.085-0.06-0.021-0.192-0.011-0.039-0.4-0.038-0.02-0.196-0.191-0.061-0.057-0.77-0.12-0.02-0.066-0.02-0.055-0.029-0.007-1.69+0.35-0.12-0.114-0.081</f>
        <v>6.5999999999999018E-2</v>
      </c>
    </row>
    <row r="1126" spans="1:5" x14ac:dyDescent="0.3">
      <c r="A1126" s="10">
        <v>83</v>
      </c>
      <c r="B1126" s="10">
        <v>10</v>
      </c>
      <c r="C1126" s="10">
        <v>20</v>
      </c>
      <c r="D1126" s="10" t="s">
        <v>1</v>
      </c>
      <c r="E1126" s="15">
        <f>1.69-0.199+0.069-0.029-0.04+0.12-0.018-0.057-0.005-0.021-0.024-0.009-0.009-0.38-0.176-0.113-0.024-0.101-0.007-0.014-0.035-0.096-0.067-0.062-0.02-0.095-0.097+0.081-0.068-0.047-0.014</f>
        <v>0.13300000000000012</v>
      </c>
    </row>
    <row r="1127" spans="1:5" x14ac:dyDescent="0.3">
      <c r="A1127" s="8">
        <v>83</v>
      </c>
      <c r="B1127" s="8">
        <v>10</v>
      </c>
      <c r="C1127" s="8">
        <v>20</v>
      </c>
      <c r="D1127" s="8" t="s">
        <v>1</v>
      </c>
      <c r="E1127" s="9">
        <v>5</v>
      </c>
    </row>
    <row r="1128" spans="1:5" x14ac:dyDescent="0.3">
      <c r="A1128" s="8">
        <v>83</v>
      </c>
      <c r="B1128" s="8">
        <v>10</v>
      </c>
      <c r="C1128" s="8" t="s">
        <v>26</v>
      </c>
      <c r="D1128" s="8" t="s">
        <v>64</v>
      </c>
      <c r="E1128" s="9">
        <f>11.215-1.856-0.16-0.03-0.14-0.009-0.17-0.113-0.057-0.02-0.168-0.021-0.039-0.02-0.057-0.11-0.34-1.132-0.039-0.307-0.03-0.039-0.226-0.005-0.034-1.29-0.019-0.02-0.022-0.682-0.057-0.057-0.17-0.173-0.057-0.049-0.063</f>
        <v>3.4340000000000011</v>
      </c>
    </row>
    <row r="1129" spans="1:5" x14ac:dyDescent="0.3">
      <c r="A1129" s="12">
        <v>83</v>
      </c>
      <c r="B1129" s="12">
        <v>10</v>
      </c>
      <c r="C1129" s="12">
        <v>35</v>
      </c>
      <c r="D1129" s="8" t="s">
        <v>1</v>
      </c>
      <c r="E1129" s="15">
        <v>5</v>
      </c>
    </row>
    <row r="1130" spans="1:5" x14ac:dyDescent="0.3">
      <c r="A1130" s="12">
        <v>83</v>
      </c>
      <c r="B1130" s="12">
        <v>10</v>
      </c>
      <c r="C1130" s="12">
        <v>45</v>
      </c>
      <c r="D1130" s="8" t="s">
        <v>1</v>
      </c>
      <c r="E1130" s="15">
        <v>5</v>
      </c>
    </row>
    <row r="1131" spans="1:5" x14ac:dyDescent="0.3">
      <c r="A1131" s="8">
        <v>83</v>
      </c>
      <c r="B1131" s="8">
        <v>10</v>
      </c>
      <c r="C1131" s="8" t="s">
        <v>30</v>
      </c>
      <c r="D1131" s="8" t="s">
        <v>1</v>
      </c>
      <c r="E1131" s="9">
        <v>5</v>
      </c>
    </row>
    <row r="1132" spans="1:5" x14ac:dyDescent="0.3">
      <c r="A1132" s="8">
        <v>83</v>
      </c>
      <c r="B1132" s="8">
        <v>12</v>
      </c>
      <c r="C1132" s="8">
        <v>20</v>
      </c>
      <c r="D1132" s="8" t="s">
        <v>1</v>
      </c>
      <c r="E1132" s="9">
        <v>5</v>
      </c>
    </row>
    <row r="1133" spans="1:5" x14ac:dyDescent="0.3">
      <c r="A1133" s="12">
        <v>83</v>
      </c>
      <c r="B1133" s="12">
        <v>12</v>
      </c>
      <c r="C1133" s="12" t="s">
        <v>26</v>
      </c>
      <c r="D1133" s="8" t="s">
        <v>64</v>
      </c>
      <c r="E1133" s="15">
        <v>5</v>
      </c>
    </row>
    <row r="1134" spans="1:5" x14ac:dyDescent="0.3">
      <c r="A1134" s="12">
        <v>83</v>
      </c>
      <c r="B1134" s="12">
        <v>12</v>
      </c>
      <c r="C1134" s="12">
        <v>35</v>
      </c>
      <c r="D1134" s="8" t="s">
        <v>1</v>
      </c>
      <c r="E1134" s="15">
        <v>5</v>
      </c>
    </row>
    <row r="1135" spans="1:5" x14ac:dyDescent="0.3">
      <c r="A1135" s="8">
        <v>83</v>
      </c>
      <c r="B1135" s="8">
        <v>12</v>
      </c>
      <c r="C1135" s="8">
        <v>45</v>
      </c>
      <c r="D1135" s="8" t="s">
        <v>1</v>
      </c>
      <c r="E1135" s="9">
        <v>5</v>
      </c>
    </row>
    <row r="1136" spans="1:5" x14ac:dyDescent="0.3">
      <c r="A1136" s="10">
        <v>83</v>
      </c>
      <c r="B1136" s="10">
        <v>12</v>
      </c>
      <c r="C1136" s="10" t="s">
        <v>28</v>
      </c>
      <c r="D1136" s="10" t="s">
        <v>1</v>
      </c>
      <c r="E1136" s="15">
        <v>5</v>
      </c>
    </row>
    <row r="1137" spans="1:5" x14ac:dyDescent="0.3">
      <c r="A1137" s="10">
        <v>83</v>
      </c>
      <c r="B1137" s="10">
        <v>12</v>
      </c>
      <c r="C1137" s="10" t="s">
        <v>30</v>
      </c>
      <c r="D1137" s="10" t="s">
        <v>1</v>
      </c>
      <c r="E1137" s="15">
        <f>7.93+21.31+17.43-0.166+2.9+2.885-0.55-0.569-0.16-0.165-0.569-0.114-0.453-0.025-0.273-0.006-0.129+0.087-0.023-0.478-0.064-0.023-0.114-0.682-0.022-1.019-0.432-0.038-0.28-12.13-0.132-0.067-0.132-0.068-0.027</f>
        <v>33.632000000000005</v>
      </c>
    </row>
    <row r="1138" spans="1:5" x14ac:dyDescent="0.3">
      <c r="A1138" s="10">
        <v>82.5</v>
      </c>
      <c r="B1138" s="10">
        <v>12.5</v>
      </c>
      <c r="C1138" s="10" t="s">
        <v>21</v>
      </c>
      <c r="D1138" s="10" t="s">
        <v>64</v>
      </c>
      <c r="E1138" s="15">
        <f>1.195-0.93+2.96-0.038-0.134-0.096-0.134+0.13-0.046-0.052-0.13-2.56-0.131+0.6-0.038</f>
        <v>0.59600000000000042</v>
      </c>
    </row>
    <row r="1139" spans="1:5" x14ac:dyDescent="0.3">
      <c r="A1139" s="10">
        <v>82.5</v>
      </c>
      <c r="B1139" s="10">
        <v>12.5</v>
      </c>
      <c r="C1139" s="10" t="s">
        <v>21</v>
      </c>
      <c r="D1139" s="10" t="s">
        <v>64</v>
      </c>
      <c r="E1139" s="15">
        <f>2.56+0.131-0.135+0.038-0.038-0.068</f>
        <v>2.488</v>
      </c>
    </row>
    <row r="1140" spans="1:5" x14ac:dyDescent="0.3">
      <c r="A1140" s="10">
        <v>83</v>
      </c>
      <c r="B1140" s="10">
        <v>14</v>
      </c>
      <c r="C1140" s="10">
        <v>20</v>
      </c>
      <c r="D1140" s="10" t="s">
        <v>1</v>
      </c>
      <c r="E1140" s="15">
        <f>6.94+6.857-0.077-0.247-0.248-0.026-0.025-0.072-0.218-0.013-0.05-0.01-0.074-0.05-0.05-0.048-0.015-0.05-0.243-0.147-0.104-1.2-0.063-0.04-0.498-0.074-0.021-0.094-0.243-1.467-0.042-0.097-0.054-0.037-0.067-0.013-0.086-0.011-0.97-0.025-0.246-0.147-0.026-0.046-0.025-0.217-0.192-1.083-0.435-0.144-0.074-0.038-0.011-0.25-0.074-0.218-3.49-0.038-0.054-1.356+1.6-0.054-0.171</f>
        <v>0.13899999999999788</v>
      </c>
    </row>
    <row r="1141" spans="1:5" x14ac:dyDescent="0.3">
      <c r="A1141" s="10">
        <v>83</v>
      </c>
      <c r="B1141" s="10">
        <v>14</v>
      </c>
      <c r="C1141" s="10">
        <v>20</v>
      </c>
      <c r="D1141" s="10" t="s">
        <v>1</v>
      </c>
      <c r="E1141" s="15">
        <f>3.49+1.356+1.12-0.219+0.171-0.22-0.025-0.573-0.171-0.245-0.091-0.065-0.65-0.064-0.038-0.22-0.05-0.013-0.248-0.043-0.438-0.219-0.026-0.05-1.218-0.05-0.17-0.014</f>
        <v>1.0169999999999995</v>
      </c>
    </row>
    <row r="1142" spans="1:5" x14ac:dyDescent="0.3">
      <c r="A1142" s="8">
        <v>83</v>
      </c>
      <c r="B1142" s="8">
        <v>14</v>
      </c>
      <c r="C1142" s="8">
        <v>20</v>
      </c>
      <c r="D1142" s="8" t="s">
        <v>1</v>
      </c>
      <c r="E1142" s="9">
        <v>5</v>
      </c>
    </row>
    <row r="1143" spans="1:5" x14ac:dyDescent="0.3">
      <c r="A1143" s="10">
        <v>83</v>
      </c>
      <c r="B1143" s="10">
        <v>14</v>
      </c>
      <c r="C1143" s="10" t="s">
        <v>26</v>
      </c>
      <c r="D1143" s="10" t="s">
        <v>64</v>
      </c>
      <c r="E1143" s="15">
        <f>4.48-0.014+0.14-0.07-0.502-0.05-0.337-0.028-0.026-0.05-0.168-0.119-0.025-0.052-0.08-0.048-0.168-0.17-0.085-1.338-0.168-0.026-0.1-0.027-0.05-0.014-0.013-0.027-0.019-0.222</f>
        <v>0.624</v>
      </c>
    </row>
    <row r="1144" spans="1:5" x14ac:dyDescent="0.3">
      <c r="A1144" s="10">
        <v>83</v>
      </c>
      <c r="B1144" s="10">
        <v>14</v>
      </c>
      <c r="C1144" s="10">
        <v>35</v>
      </c>
      <c r="D1144" s="10" t="s">
        <v>1</v>
      </c>
      <c r="E1144" s="15">
        <f>2.92+2.98-0.168-0.168+5.68-0.98-0.497-0.167-0.6-0.58-0.075-0.026-1.71-0.331-0.205-0.312-0.201-0.409-0.172-0.205-0.026-0.016-0.508-0.122-0.166-0.021</f>
        <v>3.9150000000000014</v>
      </c>
    </row>
    <row r="1145" spans="1:5" x14ac:dyDescent="0.3">
      <c r="A1145" s="10">
        <v>83</v>
      </c>
      <c r="B1145" s="10">
        <v>14</v>
      </c>
      <c r="C1145" s="10">
        <v>45</v>
      </c>
      <c r="D1145" s="10" t="s">
        <v>1</v>
      </c>
      <c r="E1145" s="15">
        <f>12.315-0.051</f>
        <v>12.263999999999999</v>
      </c>
    </row>
    <row r="1146" spans="1:5" x14ac:dyDescent="0.3">
      <c r="A1146" s="10">
        <v>83</v>
      </c>
      <c r="B1146" s="10">
        <v>14</v>
      </c>
      <c r="C1146" s="10" t="s">
        <v>28</v>
      </c>
      <c r="D1146" s="10" t="s">
        <v>1</v>
      </c>
      <c r="E1146" s="15">
        <f>5.04-0.203-4.075-0.402+5.33-0.012-0.114-0.021-0.193-0.078-0.422</f>
        <v>4.8500000000000005</v>
      </c>
    </row>
    <row r="1147" spans="1:5" x14ac:dyDescent="0.3">
      <c r="A1147" s="8">
        <v>83</v>
      </c>
      <c r="B1147" s="8">
        <v>14</v>
      </c>
      <c r="C1147" s="8" t="s">
        <v>30</v>
      </c>
      <c r="D1147" s="8" t="s">
        <v>1</v>
      </c>
      <c r="E1147" s="9">
        <v>5</v>
      </c>
    </row>
    <row r="1148" spans="1:5" x14ac:dyDescent="0.3">
      <c r="A1148" s="8">
        <v>83</v>
      </c>
      <c r="B1148" s="8">
        <v>16</v>
      </c>
      <c r="C1148" s="8">
        <v>20</v>
      </c>
      <c r="D1148" s="8" t="s">
        <v>1</v>
      </c>
      <c r="E1148" s="9">
        <v>5</v>
      </c>
    </row>
    <row r="1149" spans="1:5" x14ac:dyDescent="0.3">
      <c r="A1149" s="10">
        <v>82.5</v>
      </c>
      <c r="B1149" s="10">
        <v>16</v>
      </c>
      <c r="C1149" s="10" t="s">
        <v>21</v>
      </c>
      <c r="D1149" s="10" t="s">
        <v>64</v>
      </c>
      <c r="E1149" s="15">
        <f>2.505-0.163-0.163-0.02-0.163-1.565-0.304</f>
        <v>0.12700000000000028</v>
      </c>
    </row>
    <row r="1150" spans="1:5" x14ac:dyDescent="0.3">
      <c r="A1150" s="10">
        <v>82.5</v>
      </c>
      <c r="B1150" s="10">
        <v>16</v>
      </c>
      <c r="C1150" s="10" t="s">
        <v>21</v>
      </c>
      <c r="D1150" s="10" t="s">
        <v>64</v>
      </c>
      <c r="E1150" s="15">
        <f>1.565+0.304-0.163-0.02-0.123-0.056-0.163-0.163-0.323-0.109</f>
        <v>0.74899999999999989</v>
      </c>
    </row>
    <row r="1151" spans="1:5" x14ac:dyDescent="0.3">
      <c r="A1151" s="8">
        <v>83</v>
      </c>
      <c r="B1151" s="8">
        <v>16</v>
      </c>
      <c r="C1151" s="8" t="s">
        <v>26</v>
      </c>
      <c r="D1151" s="8" t="s">
        <v>64</v>
      </c>
      <c r="E1151" s="9">
        <f>0.455+1.86-0.083-0.014-0.37-0.48-0.028-0.056-0.068-0.084-0.051-0.029-0.241-0.083-0.235-0.33-0.029</f>
        <v>0.13399999999999987</v>
      </c>
    </row>
    <row r="1152" spans="1:5" x14ac:dyDescent="0.3">
      <c r="A1152" s="10">
        <v>83</v>
      </c>
      <c r="B1152" s="10">
        <v>16</v>
      </c>
      <c r="C1152" s="10">
        <v>45</v>
      </c>
      <c r="D1152" s="10" t="s">
        <v>1</v>
      </c>
      <c r="E1152" s="15">
        <f>0.232+0.259-0.03-0.23</f>
        <v>0.23099999999999996</v>
      </c>
    </row>
    <row r="1153" spans="1:5" x14ac:dyDescent="0.3">
      <c r="A1153" s="8">
        <v>83</v>
      </c>
      <c r="B1153" s="8">
        <v>16</v>
      </c>
      <c r="C1153" s="8">
        <v>45</v>
      </c>
      <c r="D1153" s="8" t="s">
        <v>1</v>
      </c>
      <c r="E1153" s="9">
        <v>5</v>
      </c>
    </row>
    <row r="1154" spans="1:5" x14ac:dyDescent="0.3">
      <c r="A1154" s="10">
        <v>83</v>
      </c>
      <c r="B1154" s="10">
        <v>16</v>
      </c>
      <c r="C1154" s="10" t="s">
        <v>28</v>
      </c>
      <c r="D1154" s="10" t="s">
        <v>1</v>
      </c>
      <c r="E1154" s="15">
        <f>0.91+1.33+0.475-0.231-0.1-0.239-0.021+0.079-0.03-0.544-0.222-0.15-0.215-0.013-0.028+2.7-0.13</f>
        <v>3.5710000000000015</v>
      </c>
    </row>
    <row r="1155" spans="1:5" x14ac:dyDescent="0.3">
      <c r="A1155" s="10">
        <v>83</v>
      </c>
      <c r="B1155" s="10">
        <v>16</v>
      </c>
      <c r="C1155" s="10" t="s">
        <v>30</v>
      </c>
      <c r="D1155" s="10" t="s">
        <v>1</v>
      </c>
      <c r="E1155" s="15">
        <f>5.435-0.111-0.193-0.084-0.042-0.31-0.181-0.049-0.918-0.029-0.309-0.227-0.056-0.615-0.252-0.615-0.17</f>
        <v>1.2740000000000011</v>
      </c>
    </row>
    <row r="1156" spans="1:5" x14ac:dyDescent="0.3">
      <c r="A1156" s="10">
        <v>83</v>
      </c>
      <c r="B1156" s="10">
        <v>16</v>
      </c>
      <c r="C1156" s="10" t="s">
        <v>106</v>
      </c>
      <c r="D1156" s="10" t="s">
        <v>1</v>
      </c>
      <c r="E1156" s="15">
        <f>4.67-0.016</f>
        <v>4.6539999999999999</v>
      </c>
    </row>
    <row r="1157" spans="1:5" x14ac:dyDescent="0.3">
      <c r="A1157" s="10">
        <v>82.5</v>
      </c>
      <c r="B1157" s="10">
        <v>17.5</v>
      </c>
      <c r="C1157" s="10" t="s">
        <v>21</v>
      </c>
      <c r="D1157" s="10" t="s">
        <v>64</v>
      </c>
      <c r="E1157" s="15">
        <f>2.04-0.326+0.326-0.175</f>
        <v>1.865</v>
      </c>
    </row>
    <row r="1158" spans="1:5" x14ac:dyDescent="0.3">
      <c r="A1158" s="10">
        <v>83</v>
      </c>
      <c r="B1158" s="10">
        <v>18</v>
      </c>
      <c r="C1158" s="10">
        <v>35</v>
      </c>
      <c r="D1158" s="10" t="s">
        <v>1</v>
      </c>
      <c r="E1158" s="15">
        <f>1.392-0.017-0.24-0.224-0.24-0.047-0.017-0.031-0.092-0.137-0.062-0.239+20.44-0.233-0.022-0.249-0.035-0.032-0.093-0.06</f>
        <v>19.762000000000004</v>
      </c>
    </row>
    <row r="1159" spans="1:5" x14ac:dyDescent="0.3">
      <c r="A1159" s="10">
        <v>83</v>
      </c>
      <c r="B1159" s="10">
        <v>18</v>
      </c>
      <c r="C1159" s="10" t="s">
        <v>36</v>
      </c>
      <c r="D1159" s="10" t="s">
        <v>1</v>
      </c>
      <c r="E1159" s="15">
        <f>4.5-0.072-2.14-0.494</f>
        <v>1.7939999999999998</v>
      </c>
    </row>
    <row r="1160" spans="1:5" x14ac:dyDescent="0.3">
      <c r="A1160" s="10">
        <v>83</v>
      </c>
      <c r="B1160" s="10">
        <v>18</v>
      </c>
      <c r="C1160" s="10" t="s">
        <v>28</v>
      </c>
      <c r="D1160" s="10" t="s">
        <v>1</v>
      </c>
      <c r="E1160" s="15">
        <f>4.75-0.04-0.075-0.231-0.025-0.091-0.119-0.232-0.06-0.235-0.149-0.234+0.265+3.825-0.119</f>
        <v>7.23</v>
      </c>
    </row>
    <row r="1161" spans="1:5" x14ac:dyDescent="0.3">
      <c r="A1161" s="10">
        <v>83</v>
      </c>
      <c r="B1161" s="10">
        <v>19</v>
      </c>
      <c r="C1161" s="10">
        <v>35</v>
      </c>
      <c r="D1161" s="10" t="s">
        <v>15</v>
      </c>
      <c r="E1161" s="15">
        <f>4.68-0.72-0.49-0.042-0.064-0.95-1.471-0.065-0.094-0.244-0.051-0.064</f>
        <v>0.42499999999999971</v>
      </c>
    </row>
    <row r="1162" spans="1:5" x14ac:dyDescent="0.3">
      <c r="A1162" s="10">
        <v>83</v>
      </c>
      <c r="B1162" s="10">
        <v>19</v>
      </c>
      <c r="C1162" s="10" t="s">
        <v>28</v>
      </c>
      <c r="D1162" s="10" t="s">
        <v>1</v>
      </c>
      <c r="E1162" s="15">
        <v>3.1</v>
      </c>
    </row>
    <row r="1163" spans="1:5" x14ac:dyDescent="0.3">
      <c r="A1163" s="10">
        <v>83</v>
      </c>
      <c r="B1163" s="10">
        <v>20</v>
      </c>
      <c r="C1163" s="10">
        <v>20</v>
      </c>
      <c r="D1163" s="10" t="s">
        <v>1</v>
      </c>
      <c r="E1163" s="15">
        <f>8.717-0.065-0.262-0.2-0.017-0.01-0.065-0.085-0.033-0.129-0.019-0.018-0.135-0.263-0.05-0.017-0.097-0.041-0.016-0.079-0.05</f>
        <v>7.0660000000000007</v>
      </c>
    </row>
    <row r="1164" spans="1:5" x14ac:dyDescent="0.3">
      <c r="A1164" s="10">
        <v>83</v>
      </c>
      <c r="B1164" s="10">
        <v>20</v>
      </c>
      <c r="C1164" s="10" t="s">
        <v>26</v>
      </c>
      <c r="D1164" s="10" t="s">
        <v>64</v>
      </c>
      <c r="E1164" s="15">
        <f>3.43-0.129-0.525+0.139-0.155-0.034+0.535-0.264-0.05-0.088-0.024-1.08-0.57-0.281-0.289-0.049-0.029+1.435-0.285-0.065-0.321-0.097-0.582-0.086-0.044-0.246</f>
        <v>0.24600000000000116</v>
      </c>
    </row>
    <row r="1165" spans="1:5" x14ac:dyDescent="0.3">
      <c r="A1165" s="8">
        <v>83</v>
      </c>
      <c r="B1165" s="8">
        <v>20</v>
      </c>
      <c r="C1165" s="8">
        <v>45</v>
      </c>
      <c r="D1165" s="8" t="s">
        <v>1</v>
      </c>
      <c r="E1165" s="9">
        <v>5</v>
      </c>
    </row>
    <row r="1166" spans="1:5" x14ac:dyDescent="0.3">
      <c r="A1166" s="10">
        <v>83</v>
      </c>
      <c r="B1166" s="10">
        <v>20</v>
      </c>
      <c r="C1166" s="10" t="s">
        <v>30</v>
      </c>
      <c r="D1166" s="10" t="s">
        <v>1</v>
      </c>
      <c r="E1166" s="15">
        <f>3.655-1.259-0.001+1.49-0.313-0.303-0.312-0.929-0.308-1.531</f>
        <v>0.18899999999999961</v>
      </c>
    </row>
    <row r="1167" spans="1:5" x14ac:dyDescent="0.3">
      <c r="A1167" s="10">
        <v>83</v>
      </c>
      <c r="B1167" s="10">
        <v>20</v>
      </c>
      <c r="C1167" s="10" t="s">
        <v>30</v>
      </c>
      <c r="D1167" s="10" t="s">
        <v>1</v>
      </c>
      <c r="E1167" s="15">
        <f>4.99-0.033-0.054-1.11-0.099-0.23-0.013-0.224-0.097-0.187-0.446-0.186-0.549-0.186-0.572-0.232-0.18-0.521+4.11-0.034-4.09+8.465-0.034</f>
        <v>8.4879999999999978</v>
      </c>
    </row>
    <row r="1168" spans="1:5" x14ac:dyDescent="0.3">
      <c r="A1168" s="10">
        <v>83</v>
      </c>
      <c r="B1168" s="10">
        <v>22</v>
      </c>
      <c r="C1168" s="10">
        <v>20</v>
      </c>
      <c r="D1168" s="10" t="s">
        <v>1</v>
      </c>
      <c r="E1168" s="15">
        <f>0.156-0.036-0.029-0.069</f>
        <v>2.1999999999999992E-2</v>
      </c>
    </row>
    <row r="1169" spans="1:5" x14ac:dyDescent="0.3">
      <c r="A1169" s="8">
        <v>83</v>
      </c>
      <c r="B1169" s="8">
        <v>22</v>
      </c>
      <c r="C1169" s="8">
        <v>20</v>
      </c>
      <c r="D1169" s="8" t="s">
        <v>1</v>
      </c>
      <c r="E1169" s="9">
        <v>5</v>
      </c>
    </row>
    <row r="1170" spans="1:5" x14ac:dyDescent="0.3">
      <c r="A1170" s="10">
        <v>83</v>
      </c>
      <c r="B1170" s="10">
        <v>22</v>
      </c>
      <c r="C1170" s="10" t="s">
        <v>30</v>
      </c>
      <c r="D1170" s="10" t="s">
        <v>1</v>
      </c>
      <c r="E1170" s="15">
        <f>2.35-0.36-0.178-0.1-0.528-0.076-0.07</f>
        <v>1.038</v>
      </c>
    </row>
    <row r="1171" spans="1:5" x14ac:dyDescent="0.3">
      <c r="A1171" s="8">
        <v>83</v>
      </c>
      <c r="B1171" s="8">
        <v>22</v>
      </c>
      <c r="C1171" s="8" t="s">
        <v>30</v>
      </c>
      <c r="D1171" s="8" t="s">
        <v>1</v>
      </c>
      <c r="E1171" s="9">
        <v>5</v>
      </c>
    </row>
    <row r="1172" spans="1:5" x14ac:dyDescent="0.3">
      <c r="A1172" s="10">
        <v>85</v>
      </c>
      <c r="B1172" s="10">
        <v>5</v>
      </c>
      <c r="C1172" s="10">
        <v>20</v>
      </c>
      <c r="D1172" s="10" t="s">
        <v>4</v>
      </c>
      <c r="E1172" s="15">
        <v>0.34499999999999997</v>
      </c>
    </row>
    <row r="1173" spans="1:5" x14ac:dyDescent="0.3">
      <c r="A1173" s="10">
        <v>85</v>
      </c>
      <c r="B1173" s="10">
        <v>6</v>
      </c>
      <c r="C1173" s="10">
        <v>20</v>
      </c>
      <c r="D1173" s="10" t="s">
        <v>4</v>
      </c>
      <c r="E1173" s="15">
        <f>1.45-0.157-0.026-0.014-0.782-0.026-0.313-0.04-0.04-0.04+0.078-0.014-0.09+0.171-0.027-0.053-0.04</f>
        <v>3.6999999999999873E-2</v>
      </c>
    </row>
    <row r="1174" spans="1:5" x14ac:dyDescent="0.3">
      <c r="A1174" s="10">
        <v>89</v>
      </c>
      <c r="B1174" s="10">
        <v>3.5</v>
      </c>
      <c r="C1174" s="10">
        <v>20</v>
      </c>
      <c r="D1174" s="10" t="s">
        <v>1</v>
      </c>
      <c r="E1174" s="15">
        <f>0.046-0.016-0.002-0.005-0.005-0.009</f>
        <v>8.9999999999999959E-3</v>
      </c>
    </row>
    <row r="1175" spans="1:5" x14ac:dyDescent="0.3">
      <c r="A1175" s="8">
        <v>89</v>
      </c>
      <c r="B1175" s="8">
        <v>4</v>
      </c>
      <c r="C1175" s="8" t="s">
        <v>34</v>
      </c>
      <c r="D1175" s="8" t="s">
        <v>7</v>
      </c>
      <c r="E1175" s="9">
        <f>1.4+0.72-0.027+0.631-0.014+0.026-0.01-0.054-2.2-0.014</f>
        <v>0.45800000000000041</v>
      </c>
    </row>
    <row r="1176" spans="1:5" x14ac:dyDescent="0.3">
      <c r="A1176" s="8">
        <v>89</v>
      </c>
      <c r="B1176" s="8">
        <v>4</v>
      </c>
      <c r="C1176" s="8">
        <v>20</v>
      </c>
      <c r="D1176" s="8" t="s">
        <v>1</v>
      </c>
      <c r="E1176" s="9">
        <f>0.44+0.016-0.04-0.005-0.018+0.039-0.05-0.13-0.031-0.009-0.045-0.035-0.014+0.012+0.021-0.016-0.018-0.023-0.007-0.004-0.005+0.241-0.01-0.012-0.005-0.059-0.119-0.004-0.037-0.026-0.021+0.14-0.014-0.022-0.062</f>
        <v>6.7999999999999949E-2</v>
      </c>
    </row>
    <row r="1177" spans="1:5" x14ac:dyDescent="0.3">
      <c r="A1177" s="10">
        <v>89</v>
      </c>
      <c r="B1177" s="10">
        <v>4</v>
      </c>
      <c r="C1177" s="10">
        <v>20</v>
      </c>
      <c r="D1177" s="10" t="s">
        <v>1</v>
      </c>
      <c r="E1177" s="15">
        <f>2.148-0.45+0.215-0.038-1.75-0.01-0.002-0.036-0.01-0.005-0.1+0.156-0.03-0.01</f>
        <v>7.800000000000025E-2</v>
      </c>
    </row>
    <row r="1178" spans="1:5" x14ac:dyDescent="0.3">
      <c r="A1178" s="10">
        <v>89</v>
      </c>
      <c r="B1178" s="10">
        <v>4</v>
      </c>
      <c r="C1178" s="10">
        <v>20</v>
      </c>
      <c r="D1178" s="10" t="s">
        <v>1</v>
      </c>
      <c r="E1178" s="15">
        <f>1.75+1.982+0.685-0.005-0.005-0.26+1.175-0.026+0.1-0.01+0.062-0.004-0.011+0.01-0.009-0.005-0.017-0.018-0.034-0.099-0.01-0.007-0.029-0.002-0.185-0.006+0.647-0.07-0.012-0.1-0.03+0.14-0.016-1.55-0.03-0.022+0.08-0.015-0.053-0.004-0.099+0.848-0.015-0.023-0.01-0.011-0.004-0.006+0.044-0.005-0.109+0.368-0.011-0.052-0.028-0.009-0.02-0.01-0.024-0.002-0.011-0.029-0.034-0.072-0.015-0.007-0.008-0.098-0.44-0.031-0.006-0.096-0.025-0.004-0.203-0.581-0.02-0.008-0.03-0.032-0.003-0.03-0.011-0.006-0.02-0.004-0.004-0.015-0.01-0.002-0.005-0.18-0.023-0.02-0.006-0.029-0.261-0.003-0.2-0.016</f>
        <v>2.2110000000000047</v>
      </c>
    </row>
    <row r="1179" spans="1:5" x14ac:dyDescent="0.3">
      <c r="A1179" s="24">
        <v>89</v>
      </c>
      <c r="B1179" s="24">
        <v>4</v>
      </c>
      <c r="C1179" s="24" t="s">
        <v>26</v>
      </c>
      <c r="D1179" s="24" t="s">
        <v>1</v>
      </c>
      <c r="E1179" s="25">
        <f>1.284-0.01-0.021-0.029-0.09+0.46+0.004+0.012-0.057-0.034-0.017-0.006-0.003-0.045-0.35-0.024-0.27-0.096-0.057-0.004-0.011-0.02-0.004-0.01-0.004-0.02-0.015-0.02-0.004-0.006-0.01-0.146-0.02-0.033-0.082-0.029-0.039-0.01-0.022-0.029-0.009-0.014-0.011-0.016</f>
        <v>6.3000000000000056E-2</v>
      </c>
    </row>
    <row r="1180" spans="1:5" x14ac:dyDescent="0.3">
      <c r="A1180" s="10">
        <v>89</v>
      </c>
      <c r="B1180" s="10">
        <v>4</v>
      </c>
      <c r="C1180" s="10" t="s">
        <v>26</v>
      </c>
      <c r="D1180" s="10" t="s">
        <v>64</v>
      </c>
      <c r="E1180" s="15">
        <f>4.15+0.402-0.027-0.02-0.029-0.028+0.159+0.29-0.015-0.029+0.302-0.103-0.038-0.038-0.086+0.726-0.024-0.026-0.005-0.011-0.057</f>
        <v>5.4930000000000003</v>
      </c>
    </row>
    <row r="1181" spans="1:5" x14ac:dyDescent="0.3">
      <c r="A1181" s="10">
        <v>89</v>
      </c>
      <c r="B1181" s="10">
        <v>4.5</v>
      </c>
      <c r="C1181" s="10">
        <v>20</v>
      </c>
      <c r="D1181" s="10" t="s">
        <v>1</v>
      </c>
      <c r="E1181" s="15">
        <f>0.402-0.033-0.067-0.007-0.01-0.018-0.01-0.01-0.028-0.005-0.006-0.012-0.009-0.033+1.058+0.432-0.013-0.009-0.012-0.017</f>
        <v>1.5930000000000002</v>
      </c>
    </row>
    <row r="1182" spans="1:5" x14ac:dyDescent="0.3">
      <c r="A1182" s="8">
        <v>89</v>
      </c>
      <c r="B1182" s="8">
        <v>5</v>
      </c>
      <c r="C1182" s="13">
        <v>20</v>
      </c>
      <c r="D1182" s="8" t="s">
        <v>1</v>
      </c>
      <c r="E1182" s="9">
        <f>0.036-0.022-0.002+0.017+0.434-0.012-0.006-0.006-0.008-0.045-0.042-0.004-0.039-0.012-0.037-0.017-0.033-0.012-0.057+0.33-0.01+0.098+0.69-0.205-0.69-0.34+0.03-0.006-0.013</f>
        <v>1.6999999999999842E-2</v>
      </c>
    </row>
    <row r="1183" spans="1:5" x14ac:dyDescent="0.3">
      <c r="A1183" s="10">
        <v>89</v>
      </c>
      <c r="B1183" s="10">
        <v>5</v>
      </c>
      <c r="C1183" s="10">
        <v>20</v>
      </c>
      <c r="D1183" s="10" t="s">
        <v>1</v>
      </c>
      <c r="E1183" s="15">
        <f>0.09+0.31+0.205+0.69+0.098+0.34-0.171+0.373-0.59+0.492-0.031-0.022-0.026-0.023+0.255+0.282-0.012-0.006-0.117-0.025-0.033-0.022+0.024-0.111-0.012+0.171-0.022-0.006-0.02-0.066-0.018+0.63-0.039-0.028-0.02-0.07-0.048-0.004-0.07-0.007-0.006-0.004-0.012-0.011-0.028+0.294-0.022-0.033-0.03-0.64-0.023-0.46-0.005-0.019</f>
        <v>1.3420000000000023</v>
      </c>
    </row>
    <row r="1184" spans="1:5" x14ac:dyDescent="0.3">
      <c r="A1184" s="10">
        <v>89</v>
      </c>
      <c r="B1184" s="10">
        <v>5</v>
      </c>
      <c r="C1184" s="10">
        <v>20</v>
      </c>
      <c r="D1184" s="10" t="s">
        <v>4</v>
      </c>
      <c r="E1184" s="15">
        <f>2.61-0.035-0.014-0.018-0.066-0.023-0.89-0.066-0.012-0.044-0.027-0.02-0.025-0.326-0.023-0.066-0.2-0.196-0.391-0.021-0.022</f>
        <v>0.12500000000000017</v>
      </c>
    </row>
    <row r="1185" spans="1:5" x14ac:dyDescent="0.3">
      <c r="A1185" s="10">
        <v>89</v>
      </c>
      <c r="B1185" s="10">
        <v>5</v>
      </c>
      <c r="C1185" s="10" t="s">
        <v>26</v>
      </c>
      <c r="D1185" s="10" t="s">
        <v>1</v>
      </c>
      <c r="E1185" s="15">
        <f>3.91+0.09+0.705+0.103-0.12+0.485+0.007+1.9-0.247-0.005-0.024+0.006-0.07-0.007-0.003-0.042-0.047-0.059-0.012-0.025-0.347-0.007-0.021-0.024-0.015+0.4-0.021-0.099-0.123-0.012-1.94-0.024-0.006-0.005-0.009-0.013-0.013-0.024+0.573-0.017-0.013-0.025-0.024-0.009-0.047-0.054+0.128-0.012-0.008-0.22-0.05-0.071-0.106-0.108-0.021-0.007-0.013-0.024-0.008-0.125-0.007-0.013-0.01-0.07-0.247-0.003-0.042-0.006-0.013-0.019-0.013-0.036-0.024-0.018-0.018-0.086-0.013-0.012-0.008-0.013-0.013-0.024-0.08-0.005-0.024-0.043+2.444-0.09-0.005-0.007-0.019</f>
        <v>5.4440000000000044</v>
      </c>
    </row>
    <row r="1186" spans="1:5" x14ac:dyDescent="0.3">
      <c r="A1186" s="10">
        <v>89</v>
      </c>
      <c r="B1186" s="10">
        <v>5</v>
      </c>
      <c r="C1186" s="10">
        <v>45</v>
      </c>
      <c r="D1186" s="10" t="s">
        <v>1</v>
      </c>
      <c r="E1186" s="15">
        <f>0.41+0.095-0.045+0.268-0.1-0.046-0.013-0.3+0.32+0.79-0.036</f>
        <v>1.343</v>
      </c>
    </row>
    <row r="1187" spans="1:5" x14ac:dyDescent="0.3">
      <c r="A1187" s="10">
        <v>89</v>
      </c>
      <c r="B1187" s="10">
        <v>5</v>
      </c>
      <c r="C1187" s="10" t="s">
        <v>30</v>
      </c>
      <c r="D1187" s="10" t="s">
        <v>4</v>
      </c>
      <c r="E1187" s="15">
        <f>11.109-0.022-0.181</f>
        <v>10.906000000000001</v>
      </c>
    </row>
    <row r="1188" spans="1:5" x14ac:dyDescent="0.3">
      <c r="A1188" s="10">
        <v>89</v>
      </c>
      <c r="B1188" s="10">
        <v>5</v>
      </c>
      <c r="C1188" s="10" t="s">
        <v>29</v>
      </c>
      <c r="D1188" s="10" t="s">
        <v>3</v>
      </c>
      <c r="E1188" s="15">
        <f>0.31+0.007-0.017-0.006-0.013</f>
        <v>0.28099999999999997</v>
      </c>
    </row>
    <row r="1189" spans="1:5" x14ac:dyDescent="0.3">
      <c r="A1189" s="10">
        <v>88.9</v>
      </c>
      <c r="B1189" s="10">
        <v>5.5</v>
      </c>
      <c r="C1189" s="10" t="s">
        <v>26</v>
      </c>
      <c r="D1189" s="10" t="s">
        <v>1</v>
      </c>
      <c r="E1189" s="15">
        <f>0.105-0.032</f>
        <v>7.2999999999999995E-2</v>
      </c>
    </row>
    <row r="1190" spans="1:5" x14ac:dyDescent="0.3">
      <c r="A1190" s="10">
        <v>89</v>
      </c>
      <c r="B1190" s="10">
        <v>6</v>
      </c>
      <c r="C1190" s="10">
        <v>20</v>
      </c>
      <c r="D1190" s="10" t="s">
        <v>1</v>
      </c>
      <c r="E1190" s="15">
        <f>4.52-0.03+0.141-0.141-0.107-0.01-0.005-0.015-0.045-0.016-0.084-0.01-0.008-0.316-0.03-0.159-0.023-0.051-0.046-0.008-0.005-0.037-0.015-0.03-0.158-0.004-0.016-0.353-0.158-0.045-0.319-0.005+0.227-0.096-0.02-0.053-0.016-0.045-0.016-0.003-0.023-0.023-0.007-0.105-0.016-0.026-0.01-0.068-0.023-0.003-0.057-0.03-0.02-0.046-0.02-0.015-0.059-0.016-0.017-0.03-0.023-0.016-0.019-0.171-0.016-0.01-0.012-0.006-1.56+0.167-0.006</f>
        <v>0.10400000000000095</v>
      </c>
    </row>
    <row r="1191" spans="1:5" x14ac:dyDescent="0.3">
      <c r="A1191" s="10">
        <v>89</v>
      </c>
      <c r="B1191" s="10">
        <v>6</v>
      </c>
      <c r="C1191" s="10">
        <v>20</v>
      </c>
      <c r="D1191" s="10" t="s">
        <v>1</v>
      </c>
      <c r="E1191" s="15">
        <f>1.56-0.158+0.006-0.158-0.009-0.089-0.024-0.006-0.003-0.018-0.014-0.03-0.024+0.106-0.007-0.06+1.395-0.019-0.109-0.016-0.089-0.067+1.422+0.639-0.06-0.027-0.024-0.26-0.025+0.048-0.022-0.019-0.052-0.017-0.045-0.005-0.158-0.045-0.157-0.033-0.038-0.032-0.089-0.023-0.023-0.011-0.039-0.007-0.005-0.01-0.016-0.005-0.045-0.032-0.142-0.016-0.032-0.017-0.006-0.038-0.017-0.156-0.016-0.16-0.016-0.009-0.045-0.089-0.009-0.016-0.14-0.111-0.007-0.016-0.046-0.142-0.045-0.005-0.018-0.008</f>
        <v>1.6300000000000026</v>
      </c>
    </row>
    <row r="1192" spans="1:5" x14ac:dyDescent="0.3">
      <c r="A1192" s="10">
        <v>89</v>
      </c>
      <c r="B1192" s="10">
        <v>6</v>
      </c>
      <c r="C1192" s="10" t="s">
        <v>39</v>
      </c>
      <c r="D1192" s="10" t="s">
        <v>1</v>
      </c>
      <c r="E1192" s="15">
        <f>0.581-0.043-0.054-0.015</f>
        <v>0.46899999999999992</v>
      </c>
    </row>
    <row r="1193" spans="1:5" x14ac:dyDescent="0.3">
      <c r="A1193" s="10">
        <v>89</v>
      </c>
      <c r="B1193" s="10">
        <v>6</v>
      </c>
      <c r="C1193" s="10" t="s">
        <v>26</v>
      </c>
      <c r="D1193" s="10" t="s">
        <v>1</v>
      </c>
      <c r="E1193" s="15">
        <f>2.543-0.03-0.059-0.03-0.028-0.016-0.016-0.016-0.017-0.459-0.008-0.233-0.156-0.008-0.009-0.03-0.045-0.013-0.315+1.45-0.007-0.023-0.13-0.016-0.014-0.03-0.037-2.37+0.35-0.026-0.022-0.015-0.037-0.093</f>
        <v>3.5000000000000975E-2</v>
      </c>
    </row>
    <row r="1194" spans="1:5" x14ac:dyDescent="0.3">
      <c r="A1194" s="10">
        <v>89</v>
      </c>
      <c r="B1194" s="10">
        <v>6</v>
      </c>
      <c r="C1194" s="10" t="s">
        <v>26</v>
      </c>
      <c r="D1194" s="10" t="s">
        <v>64</v>
      </c>
      <c r="E1194" s="15">
        <f>3.836-0.03-0.039-0.03-0.03-0.016+1.206-0.147-0.012-0.059-0.016-0.029-0.013-0.09+2.37+0.022-0.022-0.023-0.03-0.054-0.016-0.03-0.052-0.009-0.313-0.159-0.135-0.009-0.019-0.016-0.156-0.009-0.003-0.291-0.026-0.016-0.081-0.15+0.542-0.53-0.103+0.109-0.06-0.016+0.016-0.008-0.023-0.024-0.042-0.017+0.436-0.019-0.008-0.008-0.016-0.03-0.008-0.016-0.011-0.016-0.003-0.004-0.089+0.093-0.25-0.01-0.063-0.103-0.016-0.075-0.053-0.013-0.043+1.126-0.016-0.003-0.011-0.004-0.023-0.013-0.009-0.009-0.005-0.03-0.003-0.03-0.03-0.03-0.03-0.016-0.02+0.712-0.016-0.01-0.013-0.045-0.023-0.037-0.06-0.014-0.148-0.195-0.025-0.112-0.016-0.012-0.014-0.016+0.4-0.008-0.014-0.063-0.065-0.009-0.023-0.204-0.045-0.011-0.016-0.038-0.03-0.26-0.045-0.022-0.046-0.06-0.06-0.06-0.03-0.01-0.195-0.113-0.026-0.015+1.5-0.142-0.006-0.006-0.023-0.083-0.106-0.003-0.007-0.012-0.028-0.02-0.016-0.03-0.023-0.006-0.016-0.011-0.03-0.014-0.069-0.139-0.11-0.046-0.018</f>
        <v>5.0909999999999993</v>
      </c>
    </row>
    <row r="1195" spans="1:5" x14ac:dyDescent="0.3">
      <c r="A1195" s="10">
        <v>89</v>
      </c>
      <c r="B1195" s="10">
        <v>6</v>
      </c>
      <c r="C1195" s="10" t="s">
        <v>26</v>
      </c>
      <c r="D1195" s="10" t="s">
        <v>46</v>
      </c>
      <c r="E1195" s="15">
        <f>1.965-0.078</f>
        <v>1.887</v>
      </c>
    </row>
    <row r="1196" spans="1:5" x14ac:dyDescent="0.3">
      <c r="A1196" s="10">
        <v>89</v>
      </c>
      <c r="B1196" s="10">
        <v>6</v>
      </c>
      <c r="C1196" s="10" t="s">
        <v>35</v>
      </c>
      <c r="D1196" s="10" t="s">
        <v>32</v>
      </c>
      <c r="E1196" s="15">
        <v>0.61599999999999999</v>
      </c>
    </row>
    <row r="1197" spans="1:5" x14ac:dyDescent="0.3">
      <c r="A1197" s="10">
        <v>89</v>
      </c>
      <c r="B1197" s="10">
        <v>6</v>
      </c>
      <c r="C1197" s="10">
        <v>45</v>
      </c>
      <c r="D1197" s="10" t="s">
        <v>1</v>
      </c>
      <c r="E1197" s="15">
        <f>4.96-0.045-0.03-4.83</f>
        <v>5.4999999999999716E-2</v>
      </c>
    </row>
    <row r="1198" spans="1:5" x14ac:dyDescent="0.3">
      <c r="A1198" s="10">
        <v>89</v>
      </c>
      <c r="B1198" s="10">
        <v>6</v>
      </c>
      <c r="C1198" s="10">
        <v>45</v>
      </c>
      <c r="D1198" s="10" t="s">
        <v>1</v>
      </c>
      <c r="E1198" s="15">
        <f>4.83-0.06+0.048-0.005-0.298-0.03-0.009-0.017</f>
        <v>4.4589999999999996</v>
      </c>
    </row>
    <row r="1199" spans="1:5" x14ac:dyDescent="0.3">
      <c r="A1199" s="8">
        <v>89</v>
      </c>
      <c r="B1199" s="8">
        <v>6</v>
      </c>
      <c r="C1199" s="8" t="s">
        <v>37</v>
      </c>
      <c r="D1199" s="8" t="s">
        <v>153</v>
      </c>
      <c r="E1199" s="9">
        <f>0.347-0.029-0.02-0.009-0.039-0.027-0.014-0.008</f>
        <v>0.2009999999999999</v>
      </c>
    </row>
    <row r="1200" spans="1:5" x14ac:dyDescent="0.3">
      <c r="A1200" s="10">
        <v>89</v>
      </c>
      <c r="B1200" s="10">
        <v>6</v>
      </c>
      <c r="C1200" s="10" t="s">
        <v>28</v>
      </c>
      <c r="D1200" s="10" t="s">
        <v>1</v>
      </c>
      <c r="E1200" s="15">
        <f>4.565+1.46-0.039-0.121-0.014-0.123-0.245-0.243</f>
        <v>5.2399999999999993</v>
      </c>
    </row>
    <row r="1201" spans="1:5" x14ac:dyDescent="0.3">
      <c r="A1201" s="10">
        <v>89</v>
      </c>
      <c r="B1201" s="10">
        <v>6</v>
      </c>
      <c r="C1201" s="10" t="s">
        <v>29</v>
      </c>
      <c r="D1201" s="10" t="s">
        <v>3</v>
      </c>
      <c r="E1201" s="15">
        <f>2.06-0.005-0.064+0.025-0.007-0.005-0.018+0.028-0.007-0.091-0.105-0.31-0.013</f>
        <v>1.4879999999999998</v>
      </c>
    </row>
    <row r="1202" spans="1:5" x14ac:dyDescent="0.3">
      <c r="A1202" s="12">
        <v>89</v>
      </c>
      <c r="B1202" s="12">
        <v>6.5</v>
      </c>
      <c r="C1202" s="12">
        <v>20</v>
      </c>
      <c r="D1202" s="8" t="s">
        <v>1</v>
      </c>
      <c r="E1202" s="9">
        <v>0.12</v>
      </c>
    </row>
    <row r="1203" spans="1:5" x14ac:dyDescent="0.3">
      <c r="A1203" s="12">
        <v>89</v>
      </c>
      <c r="B1203" s="12">
        <v>6.5</v>
      </c>
      <c r="C1203" s="12">
        <v>20</v>
      </c>
      <c r="D1203" s="8" t="s">
        <v>1</v>
      </c>
      <c r="E1203" s="9">
        <v>0.23</v>
      </c>
    </row>
    <row r="1204" spans="1:5" x14ac:dyDescent="0.3">
      <c r="A1204" s="10">
        <v>89</v>
      </c>
      <c r="B1204" s="10">
        <v>6.5</v>
      </c>
      <c r="C1204" s="10">
        <v>45</v>
      </c>
      <c r="D1204" s="10" t="s">
        <v>1</v>
      </c>
      <c r="E1204" s="15">
        <f>0.23-0.022-0.042+1.54</f>
        <v>1.706</v>
      </c>
    </row>
    <row r="1205" spans="1:5" x14ac:dyDescent="0.3">
      <c r="A1205" s="10">
        <v>89</v>
      </c>
      <c r="B1205" s="10">
        <v>7</v>
      </c>
      <c r="C1205" s="10">
        <v>20</v>
      </c>
      <c r="D1205" s="10" t="s">
        <v>1</v>
      </c>
      <c r="E1205" s="15">
        <f>4.65+8.58+3.4-0.162-0.03-0.035-0.09-0.016-0.008-0.008-0.016-0.024+0.056-0.074-0.476-0.681-0.089-2.199-0.14-0.07-0.005-0.023-0.013-0.03+0.15-0.03-0.016-4.67-0.016-0.074-0.15-6.025-0.045-0.056-0.175-0.985</f>
        <v>0.40500000000000214</v>
      </c>
    </row>
    <row r="1206" spans="1:5" x14ac:dyDescent="0.3">
      <c r="A1206" s="10">
        <v>89</v>
      </c>
      <c r="B1206" s="10">
        <v>7</v>
      </c>
      <c r="C1206" s="10">
        <v>20</v>
      </c>
      <c r="D1206" s="10" t="s">
        <v>1</v>
      </c>
      <c r="E1206" s="15">
        <f>4.67+0.15+6.025+0.105+0.056+0.175-1.705-0.008-0.025-0.01-0.008-0.016-0.079+0.985-0.033-0.012-0.011-0.045-0.06-0.039-0.06-0.16-0.099</f>
        <v>9.7960000000000012</v>
      </c>
    </row>
    <row r="1207" spans="1:5" x14ac:dyDescent="0.3">
      <c r="A1207" s="10">
        <v>89</v>
      </c>
      <c r="B1207" s="10">
        <v>7</v>
      </c>
      <c r="C1207" s="10">
        <v>20</v>
      </c>
      <c r="D1207" s="10" t="s">
        <v>32</v>
      </c>
      <c r="E1207" s="15">
        <f>3.163-0.587-0.056-0.83-1.66</f>
        <v>2.9999999999999583E-2</v>
      </c>
    </row>
    <row r="1208" spans="1:5" x14ac:dyDescent="0.3">
      <c r="A1208" s="10">
        <v>89</v>
      </c>
      <c r="B1208" s="10">
        <v>7</v>
      </c>
      <c r="C1208" s="10">
        <v>20</v>
      </c>
      <c r="D1208" s="10" t="s">
        <v>32</v>
      </c>
      <c r="E1208" s="15">
        <f>1.66-0.086-0.025-0.15</f>
        <v>1.399</v>
      </c>
    </row>
    <row r="1209" spans="1:5" x14ac:dyDescent="0.3">
      <c r="A1209" s="10">
        <v>89</v>
      </c>
      <c r="B1209" s="10">
        <v>7</v>
      </c>
      <c r="C1209" s="10" t="s">
        <v>26</v>
      </c>
      <c r="D1209" s="10" t="s">
        <v>1</v>
      </c>
      <c r="E1209" s="15">
        <f>0.15+0.165+0.64+0.87-0.017+0.15-0.024-0.039-0.016-0.084-0.138-0.009-0.005-0.115-0.04-0.325-0.043-0.009-0.034-0.14-0.294-0.038+1.302-0.048-0.24-0.059+0.135-0.047-0.295+0.506-0.017-0.084-0.171-0.038-0.012-0.01+0.678-0.066-0.004</f>
        <v>2.1350000000000007</v>
      </c>
    </row>
    <row r="1210" spans="1:5" x14ac:dyDescent="0.3">
      <c r="A1210" s="12">
        <v>89</v>
      </c>
      <c r="B1210" s="12">
        <v>7</v>
      </c>
      <c r="C1210" s="12" t="s">
        <v>26</v>
      </c>
      <c r="D1210" s="8" t="s">
        <v>1</v>
      </c>
      <c r="E1210" s="15">
        <v>0.67800000000000005</v>
      </c>
    </row>
    <row r="1211" spans="1:5" x14ac:dyDescent="0.3">
      <c r="A1211" s="10">
        <v>89</v>
      </c>
      <c r="B1211" s="10">
        <v>7</v>
      </c>
      <c r="C1211" s="10">
        <v>35</v>
      </c>
      <c r="D1211" s="10" t="s">
        <v>1</v>
      </c>
      <c r="E1211" s="15">
        <f>14.515+5.16-0.119</f>
        <v>19.556000000000001</v>
      </c>
    </row>
    <row r="1212" spans="1:5" x14ac:dyDescent="0.3">
      <c r="A1212" s="10">
        <v>89</v>
      </c>
      <c r="B1212" s="10">
        <v>7</v>
      </c>
      <c r="C1212" s="10" t="s">
        <v>42</v>
      </c>
      <c r="D1212" s="10" t="s">
        <v>1</v>
      </c>
      <c r="E1212" s="15">
        <v>1.6850000000000001</v>
      </c>
    </row>
    <row r="1213" spans="1:5" x14ac:dyDescent="0.3">
      <c r="A1213" s="10">
        <v>89</v>
      </c>
      <c r="B1213" s="10">
        <v>7</v>
      </c>
      <c r="C1213" s="10" t="s">
        <v>30</v>
      </c>
      <c r="D1213" s="10" t="s">
        <v>1</v>
      </c>
      <c r="E1213" s="15">
        <f>5.465-0.53-0.029+0.038-0.032-0.09-0.016</f>
        <v>4.806</v>
      </c>
    </row>
    <row r="1214" spans="1:5" x14ac:dyDescent="0.3">
      <c r="A1214" s="10">
        <v>89</v>
      </c>
      <c r="B1214" s="10">
        <v>7</v>
      </c>
      <c r="C1214" s="10" t="s">
        <v>31</v>
      </c>
      <c r="D1214" s="10" t="s">
        <v>32</v>
      </c>
      <c r="E1214" s="15">
        <f>0.208-0.013-0.102</f>
        <v>9.2999999999999985E-2</v>
      </c>
    </row>
    <row r="1215" spans="1:5" x14ac:dyDescent="0.3">
      <c r="A1215" s="10">
        <v>89</v>
      </c>
      <c r="B1215" s="10">
        <v>7.62</v>
      </c>
      <c r="C1215" s="10" t="s">
        <v>26</v>
      </c>
      <c r="D1215" s="10" t="s">
        <v>1</v>
      </c>
      <c r="E1215" s="15">
        <v>9.6000000000000002E-2</v>
      </c>
    </row>
    <row r="1216" spans="1:5" x14ac:dyDescent="0.3">
      <c r="A1216" s="8">
        <v>89</v>
      </c>
      <c r="B1216" s="8">
        <v>8</v>
      </c>
      <c r="C1216" s="8">
        <v>20</v>
      </c>
      <c r="D1216" s="8" t="s">
        <v>1</v>
      </c>
      <c r="E1216" s="9">
        <f>0.63+0.072-0.02+0.005-0.01-0.008+0.311-0.158-0.208-0.103-0.018-0.018-0.01-0.018-0.018-0.158-0.035-0.064-0.051-0.014-0.018-0.075-0.01</f>
        <v>3.9999999999999151E-3</v>
      </c>
    </row>
    <row r="1217" spans="1:5" x14ac:dyDescent="0.3">
      <c r="A1217" s="10">
        <v>89</v>
      </c>
      <c r="B1217" s="10">
        <v>8</v>
      </c>
      <c r="C1217" s="10">
        <v>20</v>
      </c>
      <c r="D1217" s="10" t="s">
        <v>1</v>
      </c>
      <c r="E1217" s="15">
        <f>0.135-0.017-0.018-0.02</f>
        <v>0.08</v>
      </c>
    </row>
    <row r="1218" spans="1:5" x14ac:dyDescent="0.3">
      <c r="A1218" s="10">
        <v>89</v>
      </c>
      <c r="B1218" s="10">
        <v>8</v>
      </c>
      <c r="C1218" s="10">
        <v>20</v>
      </c>
      <c r="D1218" s="10" t="s">
        <v>1</v>
      </c>
      <c r="E1218" s="15">
        <f>0.63+0.384-0.035-0.01-0.045-0.019-0.266-0.018-0.06-0.019-0.07-0.018-0.035+1.342+4.9-0.052-0.027-0.049+0.416-0.039-0.019-0.01-0.018-0.018-0.165-0.02-0.01-0.038-0.011-0.018</f>
        <v>6.583000000000002</v>
      </c>
    </row>
    <row r="1219" spans="1:5" x14ac:dyDescent="0.3">
      <c r="A1219" s="10">
        <v>89</v>
      </c>
      <c r="B1219" s="10">
        <v>8</v>
      </c>
      <c r="C1219" s="10" t="s">
        <v>39</v>
      </c>
      <c r="D1219" s="10" t="s">
        <v>1</v>
      </c>
      <c r="E1219" s="15">
        <v>0.38</v>
      </c>
    </row>
    <row r="1220" spans="1:5" x14ac:dyDescent="0.3">
      <c r="A1220" s="10">
        <v>89</v>
      </c>
      <c r="B1220" s="10">
        <v>8</v>
      </c>
      <c r="C1220" s="10">
        <v>20</v>
      </c>
      <c r="D1220" s="10" t="s">
        <v>32</v>
      </c>
      <c r="E1220" s="15">
        <v>2.61</v>
      </c>
    </row>
    <row r="1221" spans="1:5" x14ac:dyDescent="0.3">
      <c r="A1221" s="10">
        <v>89</v>
      </c>
      <c r="B1221" s="10">
        <v>8</v>
      </c>
      <c r="C1221" s="10" t="s">
        <v>26</v>
      </c>
      <c r="D1221" s="10" t="s">
        <v>1</v>
      </c>
      <c r="E1221" s="15">
        <f>0.96+4.87+2.83-0.069+0.95-0.018-0.068-0.037-0.035-1.15-0.095-0.094-0.018-0.052-0.011-0.027-0.125-0.035-0.013-0.011-0.035-0.045-0.03-0.044-0.032-0.049-0.861-0.03-0.035-0.03+0.266-0.019-0.518-0.005+0.141-0.005-0.025-0.022-0.159-0.159-0.018-0.035-0.018-0.078-0.036-0.139-0.07-0.069-0.015-0.024-0.345-0.02-0.008-0.027-0.093-0.032-0.169-0.036-0.04-0.014-0.019-0.015-0.035-0.035-0.015-0.024-0.027-0.018-0.049-0.014-0.052-0.094-0.01-0.006-0.086-0.138-0.173-0.035-0.018-0.052-0.035-0.016-0.052-0.027-0.052-0.171-0.06-0.094-0.023-0.019-0.022-0.044-0.01-0.052-0.048-0.07-0.044-0.223-0.018-0.032-0.017</f>
        <v>2.7259999999999969</v>
      </c>
    </row>
    <row r="1222" spans="1:5" x14ac:dyDescent="0.3">
      <c r="A1222" s="10">
        <v>89</v>
      </c>
      <c r="B1222" s="10">
        <v>8</v>
      </c>
      <c r="C1222" s="10" t="s">
        <v>35</v>
      </c>
      <c r="D1222" s="10" t="s">
        <v>32</v>
      </c>
      <c r="E1222" s="15">
        <f>1.844-1.04-0.113-0.035+5.71</f>
        <v>6.3659999999999997</v>
      </c>
    </row>
    <row r="1223" spans="1:5" x14ac:dyDescent="0.3">
      <c r="A1223" s="10">
        <v>88.9</v>
      </c>
      <c r="B1223" s="10">
        <v>8</v>
      </c>
      <c r="C1223" s="10" t="s">
        <v>21</v>
      </c>
      <c r="D1223" s="10" t="s">
        <v>64</v>
      </c>
      <c r="E1223" s="15">
        <f>0.18-0.015+2.09-0.214-0.094-1.9</f>
        <v>4.6999999999999931E-2</v>
      </c>
    </row>
    <row r="1224" spans="1:5" x14ac:dyDescent="0.3">
      <c r="A1224" s="10">
        <v>88.9</v>
      </c>
      <c r="B1224" s="10">
        <v>8</v>
      </c>
      <c r="C1224" s="10" t="s">
        <v>21</v>
      </c>
      <c r="D1224" s="10" t="s">
        <v>64</v>
      </c>
      <c r="E1224" s="15">
        <f>1.9-0.005</f>
        <v>1.895</v>
      </c>
    </row>
    <row r="1225" spans="1:5" x14ac:dyDescent="0.3">
      <c r="A1225" s="10">
        <v>89</v>
      </c>
      <c r="B1225" s="10">
        <v>8</v>
      </c>
      <c r="C1225" s="10">
        <v>45</v>
      </c>
      <c r="D1225" s="10" t="s">
        <v>1</v>
      </c>
      <c r="E1225" s="15">
        <f>1.2+3.34-0.031+0.157-0.003-0.018</f>
        <v>4.6450000000000005</v>
      </c>
    </row>
    <row r="1226" spans="1:5" x14ac:dyDescent="0.3">
      <c r="A1226" s="10">
        <v>89</v>
      </c>
      <c r="B1226" s="10">
        <v>8</v>
      </c>
      <c r="C1226" s="10" t="s">
        <v>37</v>
      </c>
      <c r="D1226" s="10" t="s">
        <v>1</v>
      </c>
      <c r="E1226" s="15">
        <f>4.8-0.035-0.04-0.435</f>
        <v>4.29</v>
      </c>
    </row>
    <row r="1227" spans="1:5" x14ac:dyDescent="0.3">
      <c r="A1227" s="10">
        <v>89</v>
      </c>
      <c r="B1227" s="10">
        <v>8</v>
      </c>
      <c r="C1227" s="10" t="s">
        <v>28</v>
      </c>
      <c r="D1227" s="10" t="s">
        <v>1</v>
      </c>
      <c r="E1227" s="15">
        <f>1.28+2.93-0.343-0.056-0.02-1.032</f>
        <v>2.7589999999999999</v>
      </c>
    </row>
    <row r="1228" spans="1:5" x14ac:dyDescent="0.3">
      <c r="A1228" s="10">
        <v>89</v>
      </c>
      <c r="B1228" s="10">
        <v>8</v>
      </c>
      <c r="C1228" s="10" t="s">
        <v>28</v>
      </c>
      <c r="D1228" s="10" t="s">
        <v>1</v>
      </c>
      <c r="E1228" s="15">
        <f>5-1.28-2.93</f>
        <v>0.78999999999999959</v>
      </c>
    </row>
    <row r="1229" spans="1:5" x14ac:dyDescent="0.3">
      <c r="A1229" s="10">
        <v>89</v>
      </c>
      <c r="B1229" s="10">
        <v>9</v>
      </c>
      <c r="C1229" s="10">
        <v>20</v>
      </c>
      <c r="D1229" s="10" t="s">
        <v>1</v>
      </c>
      <c r="E1229" s="15">
        <f>2.105-0.02-0.01-0.198-0.192-0.112-0.192-0.019-0.053+6.477-0.057+0.54-0.199-0.029-0.029-1.55-0.54-4.57-0.96-0.066</f>
        <v>0.32600000000000035</v>
      </c>
    </row>
    <row r="1230" spans="1:5" x14ac:dyDescent="0.3">
      <c r="A1230" s="10">
        <v>89</v>
      </c>
      <c r="B1230" s="10">
        <v>9</v>
      </c>
      <c r="C1230" s="10">
        <v>20</v>
      </c>
      <c r="D1230" s="10" t="s">
        <v>1</v>
      </c>
      <c r="E1230" s="15">
        <f>2.635+1.55+0.54-0.53+4.57+0.96+0.18+0.822-0.02-0.016-0.02-0.051-0.038-0.38-0.075-0.04-0.02-0.066-0.006-0.038-0.035-0.019-0.094-0.027-0.036-0.031-0.22-0.057-0.065</f>
        <v>9.3730000000000011</v>
      </c>
    </row>
    <row r="1231" spans="1:5" x14ac:dyDescent="0.3">
      <c r="A1231" s="10">
        <v>89</v>
      </c>
      <c r="B1231" s="10">
        <v>9</v>
      </c>
      <c r="C1231" s="10" t="s">
        <v>39</v>
      </c>
      <c r="D1231" s="10" t="s">
        <v>1</v>
      </c>
      <c r="E1231" s="15">
        <v>0.14000000000000001</v>
      </c>
    </row>
    <row r="1232" spans="1:5" x14ac:dyDescent="0.3">
      <c r="A1232" s="10">
        <v>89</v>
      </c>
      <c r="B1232" s="10">
        <v>9</v>
      </c>
      <c r="C1232" s="10" t="s">
        <v>26</v>
      </c>
      <c r="D1232" s="10" t="s">
        <v>1</v>
      </c>
      <c r="E1232" s="15">
        <f>0.675+1.72+1.33-0.34+0.192+4.66+0.908-0.019-0.019-0.015-0.102-0.019-0.004-0.012-0.062-0.019-0.004-0.03-0.068-0.041-0.019-0.172-0.02-0.006-0.76-0.019-0.01-0.01-0.041-0.055-0.18-0.57-0.026</f>
        <v>6.843</v>
      </c>
    </row>
    <row r="1233" spans="1:5" x14ac:dyDescent="0.3">
      <c r="A1233" s="10">
        <v>89</v>
      </c>
      <c r="B1233" s="10">
        <v>9</v>
      </c>
      <c r="C1233" s="10" t="s">
        <v>30</v>
      </c>
      <c r="D1233" s="10" t="s">
        <v>1</v>
      </c>
      <c r="E1233" s="15">
        <f>2.035-0.182</f>
        <v>1.8530000000000002</v>
      </c>
    </row>
    <row r="1234" spans="1:5" x14ac:dyDescent="0.3">
      <c r="A1234" s="10">
        <v>89</v>
      </c>
      <c r="B1234" s="10">
        <v>10</v>
      </c>
      <c r="C1234" s="10">
        <v>20</v>
      </c>
      <c r="D1234" s="10" t="s">
        <v>1</v>
      </c>
      <c r="E1234" s="15">
        <f>0.142-0.021-0.031+0.022+0.165-0.011+2.882-0.066-0.041-0.127-0.028-0.025-0.007-0.021-0.116-0.01+2.264-0.215-0.064-0.032-0.107-0.018-0.085-4.44+0.11-0.099-0.023+0.009</f>
        <v>6.9999999999997824E-3</v>
      </c>
    </row>
    <row r="1235" spans="1:5" x14ac:dyDescent="0.3">
      <c r="A1235" s="10">
        <v>89</v>
      </c>
      <c r="B1235" s="10">
        <v>10</v>
      </c>
      <c r="C1235" s="10">
        <v>20</v>
      </c>
      <c r="D1235" s="10" t="s">
        <v>1</v>
      </c>
      <c r="E1235" s="15">
        <f>4.44-0.033+0.866-0.641-0.105-0.516+0.099-0.012-1.179+0.216-0.046-1-0.766-0.02-0.41-0.018-0.004-0.014-0.126-0.131+4.802+0.418-1.084-0.011-0.043-0.055-1.268-0.209-0.022-0.013-0.421-1.228-0.043+0.2-1.654+2.2-0.023-0.111-0.043-1.61-0.022-0.196</f>
        <v>0.1639999999999992</v>
      </c>
    </row>
    <row r="1236" spans="1:5" x14ac:dyDescent="0.3">
      <c r="A1236" s="10">
        <v>89</v>
      </c>
      <c r="B1236" s="10">
        <v>10</v>
      </c>
      <c r="C1236" s="10">
        <v>20</v>
      </c>
      <c r="D1236" s="10" t="s">
        <v>1</v>
      </c>
      <c r="E1236" s="15">
        <f>4.912+0.21-0.016-0.013-2-0.03-0.208-0.126-0.219-0.011-0.044-0.077</f>
        <v>2.3780000000000001</v>
      </c>
    </row>
    <row r="1237" spans="1:5" x14ac:dyDescent="0.3">
      <c r="A1237" s="10">
        <v>89</v>
      </c>
      <c r="B1237" s="10">
        <v>10</v>
      </c>
      <c r="C1237" s="10">
        <v>20</v>
      </c>
      <c r="D1237" s="10" t="s">
        <v>110</v>
      </c>
      <c r="E1237" s="15">
        <f>0.168+0.18</f>
        <v>0.34799999999999998</v>
      </c>
    </row>
    <row r="1238" spans="1:5" x14ac:dyDescent="0.3">
      <c r="A1238" s="10">
        <v>89</v>
      </c>
      <c r="B1238" s="10">
        <v>10</v>
      </c>
      <c r="C1238" s="10" t="s">
        <v>39</v>
      </c>
      <c r="D1238" s="10" t="s">
        <v>46</v>
      </c>
      <c r="E1238" s="15">
        <v>0.52200000000000002</v>
      </c>
    </row>
    <row r="1239" spans="1:5" x14ac:dyDescent="0.3">
      <c r="A1239" s="8">
        <v>89</v>
      </c>
      <c r="B1239" s="8">
        <v>10</v>
      </c>
      <c r="C1239" s="8" t="s">
        <v>12</v>
      </c>
      <c r="D1239" s="8" t="s">
        <v>32</v>
      </c>
      <c r="E1239" s="9">
        <f>0.348+1.618</f>
        <v>1.9660000000000002</v>
      </c>
    </row>
    <row r="1240" spans="1:5" x14ac:dyDescent="0.3">
      <c r="A1240" s="10">
        <v>89</v>
      </c>
      <c r="B1240" s="10">
        <v>10</v>
      </c>
      <c r="C1240" s="10" t="s">
        <v>26</v>
      </c>
      <c r="D1240" s="10" t="s">
        <v>1</v>
      </c>
      <c r="E1240" s="15">
        <f>5.062-0.029+0.759-0.023-0.156-0.12-0.041-0.045-0.011-1.55-0.041-0.007-0.021-0.021-0.041+0.93-0.012-0.216-0.04-0.057-0.063-0.93-1.682-0.022-0.021-0.012-0.626-0.007-0.013</f>
        <v>0.94400000000000139</v>
      </c>
    </row>
    <row r="1241" spans="1:5" x14ac:dyDescent="0.3">
      <c r="A1241" s="10">
        <v>89</v>
      </c>
      <c r="B1241" s="10">
        <v>10</v>
      </c>
      <c r="C1241" s="10" t="s">
        <v>26</v>
      </c>
      <c r="D1241" s="10" t="s">
        <v>64</v>
      </c>
      <c r="E1241" s="15">
        <f>0.93+2.74+0.626+0.007-0.022-0.632-0.64-0.053-0.042-0.4-0.103-0.094+3.304-0.042-0.221+1.166-0.022-0.032-0.042-0.007-0.019-0.186-0.218-0.021-0.104-0.02-0.022-0.008-0.043-0.228-0.042-0.012-0.095-0.018-0.008-0.21-0.21-0.022-0.89-0.21-0.855-0.036-0.861-0.053-0.038-0.042-0.032-0.032+3.336-0.437-0.083-0.022-0.012-0.006-0.162-0.083-0.084-0.29-0.032-0.012+3.212-0.079-0.036-0.042-0.024-0.012-0.012-0.022+1.814-0.255-0.034-0.123+0.123</f>
        <v>8.5090000000000003</v>
      </c>
    </row>
    <row r="1242" spans="1:5" x14ac:dyDescent="0.3">
      <c r="A1242" s="10">
        <v>89</v>
      </c>
      <c r="B1242" s="10">
        <v>10</v>
      </c>
      <c r="C1242" s="10" t="s">
        <v>52</v>
      </c>
      <c r="D1242" s="10" t="s">
        <v>1</v>
      </c>
      <c r="E1242" s="15">
        <v>1.532</v>
      </c>
    </row>
    <row r="1243" spans="1:5" x14ac:dyDescent="0.3">
      <c r="A1243" s="10">
        <v>89</v>
      </c>
      <c r="B1243" s="10">
        <v>10</v>
      </c>
      <c r="C1243" s="10" t="s">
        <v>120</v>
      </c>
      <c r="D1243" s="10" t="s">
        <v>1</v>
      </c>
      <c r="E1243" s="15">
        <v>0.20699999999999999</v>
      </c>
    </row>
    <row r="1244" spans="1:5" x14ac:dyDescent="0.3">
      <c r="A1244" s="10">
        <v>89</v>
      </c>
      <c r="B1244" s="10">
        <v>10</v>
      </c>
      <c r="C1244" s="10">
        <v>35</v>
      </c>
      <c r="D1244" s="10" t="s">
        <v>1</v>
      </c>
      <c r="E1244" s="15">
        <f>3.05-0.07-0.128-0.118-0.014-0.035-0.119-0.035-0.087-0.117-0.005</f>
        <v>2.3219999999999996</v>
      </c>
    </row>
    <row r="1245" spans="1:5" x14ac:dyDescent="0.3">
      <c r="A1245" s="8">
        <v>89</v>
      </c>
      <c r="B1245" s="8">
        <v>10</v>
      </c>
      <c r="C1245" s="8">
        <v>45</v>
      </c>
      <c r="D1245" s="8" t="s">
        <v>1</v>
      </c>
      <c r="E1245" s="9">
        <f>0.188-0.023+4.889-0.021</f>
        <v>5.0330000000000004</v>
      </c>
    </row>
    <row r="1246" spans="1:5" x14ac:dyDescent="0.3">
      <c r="A1246" s="10">
        <v>89</v>
      </c>
      <c r="B1246" s="10">
        <v>10</v>
      </c>
      <c r="C1246" s="10" t="s">
        <v>35</v>
      </c>
      <c r="D1246" s="10" t="s">
        <v>32</v>
      </c>
      <c r="E1246" s="15">
        <v>0.96</v>
      </c>
    </row>
    <row r="1247" spans="1:5" x14ac:dyDescent="0.3">
      <c r="A1247" s="12">
        <v>89</v>
      </c>
      <c r="B1247" s="12">
        <v>10</v>
      </c>
      <c r="C1247" s="12" t="s">
        <v>35</v>
      </c>
      <c r="D1247" s="8" t="s">
        <v>32</v>
      </c>
      <c r="E1247" s="15">
        <v>0.78400000000000003</v>
      </c>
    </row>
    <row r="1248" spans="1:5" x14ac:dyDescent="0.3">
      <c r="A1248" s="8">
        <v>89</v>
      </c>
      <c r="B1248" s="8">
        <v>10</v>
      </c>
      <c r="C1248" s="8" t="s">
        <v>28</v>
      </c>
      <c r="D1248" s="8" t="s">
        <v>1</v>
      </c>
      <c r="E1248" s="9">
        <f>7.41-0.18-3.53-0.567-0.047-0.191-0.022-0.378-0.085+5.715+5.58-0.184-0.043-0.617-0.14</f>
        <v>12.721</v>
      </c>
    </row>
    <row r="1249" spans="1:5" x14ac:dyDescent="0.3">
      <c r="A1249" s="10">
        <v>89</v>
      </c>
      <c r="B1249" s="10">
        <v>10</v>
      </c>
      <c r="C1249" s="10" t="s">
        <v>30</v>
      </c>
      <c r="D1249" s="10" t="s">
        <v>1</v>
      </c>
      <c r="E1249" s="15">
        <f>5.13-0.022-0.049-0.784-0.064-0.394-0.085-0.023-0.58-0.414-0.036</f>
        <v>2.6789999999999989</v>
      </c>
    </row>
    <row r="1250" spans="1:5" x14ac:dyDescent="0.3">
      <c r="A1250" s="10">
        <v>89</v>
      </c>
      <c r="B1250" s="10">
        <v>11</v>
      </c>
      <c r="C1250" s="10">
        <v>20</v>
      </c>
      <c r="D1250" s="10" t="s">
        <v>1</v>
      </c>
      <c r="E1250" s="15">
        <f>4.792-0.045-0.045-0.023-0.029-0.099</f>
        <v>4.5510000000000002</v>
      </c>
    </row>
    <row r="1251" spans="1:5" x14ac:dyDescent="0.3">
      <c r="A1251" s="10">
        <v>89</v>
      </c>
      <c r="B1251" s="10">
        <v>11</v>
      </c>
      <c r="C1251" s="10">
        <v>45</v>
      </c>
      <c r="D1251" s="10" t="s">
        <v>4</v>
      </c>
      <c r="E1251" s="15">
        <f>4.23+2.82-0.012-0.575-0.012-1.28-0.145-0.013-0.012-0.023-0.023-0.067</f>
        <v>4.8880000000000026</v>
      </c>
    </row>
    <row r="1252" spans="1:5" x14ac:dyDescent="0.3">
      <c r="A1252" s="10">
        <v>89</v>
      </c>
      <c r="B1252" s="10">
        <v>12</v>
      </c>
      <c r="C1252" s="10">
        <v>20</v>
      </c>
      <c r="D1252" s="10" t="s">
        <v>1</v>
      </c>
      <c r="E1252" s="15">
        <f>1.792-0.049-0.475+0.175-0.032-0.072-0.018-0.072-0.063+3.176-0.13-0.013-0.014-0.286-0.233-0.088-0.013+0.186-0.081-0.072-0.072-0.009-0.011-0.009-0.045-0.049-0.037-0.004-0.026-0.014+4.674-0.008+1.725-0.101+0.194</f>
        <v>9.8260000000000023</v>
      </c>
    </row>
    <row r="1253" spans="1:5" x14ac:dyDescent="0.3">
      <c r="A1253" s="8">
        <v>89</v>
      </c>
      <c r="B1253" s="8">
        <v>12</v>
      </c>
      <c r="C1253" s="8" t="s">
        <v>39</v>
      </c>
      <c r="D1253" s="8" t="s">
        <v>46</v>
      </c>
      <c r="E1253" s="9">
        <f>0.446+2.218+0.472+0.22</f>
        <v>3.3560000000000003</v>
      </c>
    </row>
    <row r="1254" spans="1:5" x14ac:dyDescent="0.3">
      <c r="A1254" s="10">
        <v>89</v>
      </c>
      <c r="B1254" s="10">
        <v>12</v>
      </c>
      <c r="C1254" s="10" t="s">
        <v>12</v>
      </c>
      <c r="D1254" s="10" t="s">
        <v>32</v>
      </c>
      <c r="E1254" s="15">
        <f>0.812-0.628+0.326</f>
        <v>0.51</v>
      </c>
    </row>
    <row r="1255" spans="1:5" x14ac:dyDescent="0.3">
      <c r="A1255" s="10">
        <v>89</v>
      </c>
      <c r="B1255" s="10">
        <v>12</v>
      </c>
      <c r="C1255" s="10" t="s">
        <v>26</v>
      </c>
      <c r="D1255" s="10" t="s">
        <v>1</v>
      </c>
      <c r="E1255" s="15">
        <f>0.39-0.049+3.91-0.066-0.087+1.693-0.235+0.102-0.013-0.466-0.085-0.032-0.039-0.006-0.153-0.007-0.072-0.062-0.016-0.037-2.78-0.072-0.049-0.282-0.078-0.034-0.21-0.12-0.025+0.209-0.078-0.072-0.022-0.133+1.274-0.247-0.049-0.246-0.025-0.126-0.018-0.049-0.007-0.025-0.143-0.127-0.007-0.025-0.236</f>
        <v>0.86800000000000166</v>
      </c>
    </row>
    <row r="1256" spans="1:5" x14ac:dyDescent="0.3">
      <c r="A1256" s="10">
        <v>89</v>
      </c>
      <c r="B1256" s="10">
        <v>12</v>
      </c>
      <c r="C1256" s="10">
        <v>45</v>
      </c>
      <c r="D1256" s="10" t="s">
        <v>4</v>
      </c>
      <c r="E1256" s="15">
        <f>3.06-0.072-0.004-0.006-2.755-0.154</f>
        <v>6.9000000000000311E-2</v>
      </c>
    </row>
    <row r="1257" spans="1:5" x14ac:dyDescent="0.3">
      <c r="A1257" s="10">
        <v>89</v>
      </c>
      <c r="B1257" s="10">
        <v>12</v>
      </c>
      <c r="C1257" s="10">
        <v>45</v>
      </c>
      <c r="D1257" s="10" t="s">
        <v>4</v>
      </c>
      <c r="E1257" s="15">
        <f>2.755+0.154-0.028-0.004-0.15</f>
        <v>2.7269999999999999</v>
      </c>
    </row>
    <row r="1258" spans="1:5" x14ac:dyDescent="0.3">
      <c r="A1258" s="10">
        <v>89</v>
      </c>
      <c r="B1258" s="10">
        <v>12</v>
      </c>
      <c r="C1258" s="10">
        <v>45</v>
      </c>
      <c r="D1258" s="10" t="s">
        <v>110</v>
      </c>
      <c r="E1258" s="15">
        <f>0.222-0.05</f>
        <v>0.17199999999999999</v>
      </c>
    </row>
    <row r="1259" spans="1:5" x14ac:dyDescent="0.3">
      <c r="A1259" s="8">
        <v>89</v>
      </c>
      <c r="B1259" s="8">
        <v>12</v>
      </c>
      <c r="C1259" s="8" t="s">
        <v>37</v>
      </c>
      <c r="D1259" s="8" t="s">
        <v>129</v>
      </c>
      <c r="E1259" s="9">
        <f>3.07+0.154-0.255-0.041-0.018-0.016-0.255-0.027-0.032-0.026</f>
        <v>2.5540000000000003</v>
      </c>
    </row>
    <row r="1260" spans="1:5" x14ac:dyDescent="0.3">
      <c r="A1260" s="8">
        <v>89</v>
      </c>
      <c r="B1260" s="8">
        <v>12</v>
      </c>
      <c r="C1260" s="8" t="s">
        <v>28</v>
      </c>
      <c r="D1260" s="10" t="s">
        <v>1</v>
      </c>
      <c r="E1260" s="9">
        <v>0.13200000000000001</v>
      </c>
    </row>
    <row r="1261" spans="1:5" x14ac:dyDescent="0.3">
      <c r="A1261" s="10">
        <v>89</v>
      </c>
      <c r="B1261" s="10">
        <v>12</v>
      </c>
      <c r="C1261" s="10" t="s">
        <v>30</v>
      </c>
      <c r="D1261" s="10" t="s">
        <v>1</v>
      </c>
      <c r="E1261" s="15">
        <f>5.03-0.175-0.095-0.071-0.18-0.048-0.173-0.025-0.18-0.025-0.036-0.106-0.35-0.07-0.361</f>
        <v>3.1350000000000016</v>
      </c>
    </row>
    <row r="1262" spans="1:5" x14ac:dyDescent="0.3">
      <c r="A1262" s="12">
        <v>89</v>
      </c>
      <c r="B1262" s="12">
        <v>12</v>
      </c>
      <c r="C1262" s="12" t="s">
        <v>35</v>
      </c>
      <c r="D1262" s="8" t="s">
        <v>32</v>
      </c>
      <c r="E1262" s="15">
        <v>5.0220000000000002</v>
      </c>
    </row>
    <row r="1263" spans="1:5" x14ac:dyDescent="0.3">
      <c r="A1263" s="8">
        <v>89</v>
      </c>
      <c r="B1263" s="8">
        <v>13</v>
      </c>
      <c r="C1263" s="8">
        <v>35</v>
      </c>
      <c r="D1263" s="8" t="s">
        <v>1</v>
      </c>
      <c r="E1263" s="9">
        <f>1.65+0.164-0.164</f>
        <v>1.65</v>
      </c>
    </row>
    <row r="1264" spans="1:5" x14ac:dyDescent="0.3">
      <c r="A1264" s="10">
        <v>89</v>
      </c>
      <c r="B1264" s="10">
        <v>13</v>
      </c>
      <c r="C1264" s="10">
        <v>45</v>
      </c>
      <c r="D1264" s="10" t="s">
        <v>1</v>
      </c>
      <c r="E1264" s="15">
        <f>0.431+0.579+0.115-0.294-0.146-0.007-0.677+0.004+0.349+2.03+4.994-0.041-0.01-0.227-2.5-3.84-0.475-0.172</f>
        <v>0.11299999999999893</v>
      </c>
    </row>
    <row r="1265" spans="1:5" x14ac:dyDescent="0.3">
      <c r="A1265" s="10">
        <v>89</v>
      </c>
      <c r="B1265" s="10">
        <v>13</v>
      </c>
      <c r="C1265" s="10">
        <v>45</v>
      </c>
      <c r="D1265" s="10" t="s">
        <v>1</v>
      </c>
      <c r="E1265" s="15">
        <f>2.5+3.84+0.475+0.172-0.093+0.212-0.079-0.117-0.041-0.036-0.102-0.069-0.184-0.194-0.245-0.028-0.017+0.184-0.054</f>
        <v>6.1239999999999988</v>
      </c>
    </row>
    <row r="1266" spans="1:5" x14ac:dyDescent="0.3">
      <c r="A1266" s="10">
        <v>89</v>
      </c>
      <c r="B1266" s="10">
        <v>14</v>
      </c>
      <c r="C1266" s="10">
        <v>20</v>
      </c>
      <c r="D1266" s="10" t="s">
        <v>1</v>
      </c>
      <c r="E1266" s="15">
        <f>0.184+0.42+0.07-0.083-0.07-0.045-0.082-0.029-0.015-0.17</f>
        <v>0.17999999999999985</v>
      </c>
    </row>
    <row r="1267" spans="1:5" x14ac:dyDescent="0.3">
      <c r="A1267" s="10">
        <v>89</v>
      </c>
      <c r="B1267" s="10">
        <v>14</v>
      </c>
      <c r="C1267" s="10">
        <v>20</v>
      </c>
      <c r="D1267" s="10" t="s">
        <v>1</v>
      </c>
      <c r="E1267" s="15">
        <f>4.85-0.056-0.029-0.018-0.01-0.215-0.117-0.013-0.029-0.013-0.056-0.03-0.031-0.016-0.11-0.046-1.066-0.042-0.241-0.13</f>
        <v>2.5820000000000003</v>
      </c>
    </row>
    <row r="1268" spans="1:5" x14ac:dyDescent="0.3">
      <c r="A1268" s="10">
        <v>89</v>
      </c>
      <c r="B1268" s="10">
        <v>14</v>
      </c>
      <c r="C1268" s="10">
        <v>20</v>
      </c>
      <c r="D1268" s="10" t="s">
        <v>110</v>
      </c>
      <c r="E1268" s="15">
        <f>0.668-0.077</f>
        <v>0.59100000000000008</v>
      </c>
    </row>
    <row r="1269" spans="1:5" x14ac:dyDescent="0.3">
      <c r="A1269" s="10">
        <v>89</v>
      </c>
      <c r="B1269" s="10">
        <v>14</v>
      </c>
      <c r="C1269" s="10" t="s">
        <v>26</v>
      </c>
      <c r="D1269" s="10" t="s">
        <v>1</v>
      </c>
      <c r="E1269" s="15">
        <f>3.666-0.055-1.365-2.175+0.098+1.536-0.17-0.122-0.008-0.232-0.456-0.475-0.006-0.1+4.98-0.327-0.082-0.088-0.24-0.06-0.004-0.387-0.23-0.112-0.108-0.015-0.241-0.11-0.029-0.089-0.011-0.173-0.035-0.027-0.029-0.015</f>
        <v>2.7040000000000006</v>
      </c>
    </row>
    <row r="1270" spans="1:5" x14ac:dyDescent="0.3">
      <c r="A1270" s="8">
        <v>89</v>
      </c>
      <c r="B1270" s="8">
        <v>14</v>
      </c>
      <c r="C1270" s="8" t="s">
        <v>36</v>
      </c>
      <c r="D1270" s="8" t="s">
        <v>1</v>
      </c>
      <c r="E1270" s="9">
        <f>4.48+0.42-0.071-1.85-0.034</f>
        <v>2.9450000000000007</v>
      </c>
    </row>
    <row r="1271" spans="1:5" x14ac:dyDescent="0.3">
      <c r="A1271" s="10">
        <v>89</v>
      </c>
      <c r="B1271" s="10">
        <v>14</v>
      </c>
      <c r="C1271" s="10" t="s">
        <v>28</v>
      </c>
      <c r="D1271" s="10" t="s">
        <v>1</v>
      </c>
      <c r="E1271" s="15">
        <f>4.94+0.151-0.97-0.057-0.054-0.546-0.054-0.077-0.158-0.237-0.042-0.341-0.536-0.067-0.731-0.08-1.052+0.14+4.02-0.106-4.16+0.06+5.18-3.965-0.556-0.015-0.047-0.116+6.95-0.006-0.438-0.224-0.067-0.028-0.028-0.015-0.445-1.09-0.092-0.028-0.053</f>
        <v>4.96</v>
      </c>
    </row>
    <row r="1272" spans="1:5" x14ac:dyDescent="0.3">
      <c r="A1272" s="10">
        <v>89</v>
      </c>
      <c r="B1272" s="10">
        <v>14</v>
      </c>
      <c r="C1272" s="10" t="s">
        <v>30</v>
      </c>
      <c r="D1272" s="10" t="s">
        <v>1</v>
      </c>
      <c r="E1272" s="15">
        <f>5.13-0.402-0.082-0.308-0.161-0.408-0.607-0.082-0.04+5.34-0.532</f>
        <v>7.8480000000000008</v>
      </c>
    </row>
    <row r="1273" spans="1:5" x14ac:dyDescent="0.3">
      <c r="A1273" s="10">
        <v>89</v>
      </c>
      <c r="B1273" s="10">
        <v>16</v>
      </c>
      <c r="C1273" s="10">
        <v>20</v>
      </c>
      <c r="D1273" s="10" t="s">
        <v>1</v>
      </c>
      <c r="E1273" s="15">
        <f>0.42+2.461+0.44+2.914+0.509-0.057-0.034-0.476+0.432-0.091-0.222-0.031-0.42-0.48+0.16-0.032-0.03-0.15-0.139-0.031-0.017-0.032-0.238-0.239-0.476-0.475-0.089-0.093-0.037-0.031-0.263-0.064-0.091-0.477-0.237-0.151-0.03-0.239-0.092-0.091-0.027-0.474-0.235-0.147-0.423+0.442-0.011+5.078-0.667-0.031-0.091-0.02-0.229</f>
        <v>4.846000000000001</v>
      </c>
    </row>
    <row r="1274" spans="1:5" x14ac:dyDescent="0.3">
      <c r="A1274" s="10">
        <v>89</v>
      </c>
      <c r="B1274" s="10">
        <v>16</v>
      </c>
      <c r="C1274" s="10" t="s">
        <v>26</v>
      </c>
      <c r="D1274" s="10" t="s">
        <v>1</v>
      </c>
      <c r="E1274" s="15">
        <f>5.4-1.98-0.241-1.197-0.243-0.241-0.07-0.151-0.059-0.006-0.062-0.307-0.088-0.13-0.116-0.107-0.032-0.221-0.037-0.031-0.058</f>
        <v>2.3000000000000208E-2</v>
      </c>
    </row>
    <row r="1275" spans="1:5" x14ac:dyDescent="0.3">
      <c r="A1275" s="10">
        <v>89</v>
      </c>
      <c r="B1275" s="10">
        <v>16</v>
      </c>
      <c r="C1275" s="10" t="s">
        <v>26</v>
      </c>
      <c r="D1275" s="10" t="s">
        <v>64</v>
      </c>
      <c r="E1275" s="15">
        <f>5.64-0.224-0.044-3.88-0.091-0.65-0.223-0.009-0.032-0.032-0.061+9.654-0.092-0.02-0.695-0.181-0.038</f>
        <v>9.0220000000000002</v>
      </c>
    </row>
    <row r="1276" spans="1:5" x14ac:dyDescent="0.3">
      <c r="A1276" s="10">
        <v>89</v>
      </c>
      <c r="B1276" s="10">
        <v>16</v>
      </c>
      <c r="C1276" s="10">
        <v>35</v>
      </c>
      <c r="D1276" s="10" t="s">
        <v>110</v>
      </c>
      <c r="E1276" s="15">
        <v>0.61599999999999999</v>
      </c>
    </row>
    <row r="1277" spans="1:5" x14ac:dyDescent="0.3">
      <c r="A1277" s="10">
        <v>89</v>
      </c>
      <c r="B1277" s="10">
        <v>16</v>
      </c>
      <c r="C1277" s="10">
        <v>35</v>
      </c>
      <c r="D1277" s="10" t="s">
        <v>1</v>
      </c>
      <c r="E1277" s="15">
        <f>3.3-0.666-0.06-0.894+2.768-0.228+0.218-0.878</f>
        <v>3.5599999999999996</v>
      </c>
    </row>
    <row r="1278" spans="1:5" x14ac:dyDescent="0.3">
      <c r="A1278" s="10">
        <v>89</v>
      </c>
      <c r="B1278" s="10">
        <v>16</v>
      </c>
      <c r="C1278" s="10">
        <v>45</v>
      </c>
      <c r="D1278" s="10" t="s">
        <v>1</v>
      </c>
      <c r="E1278" s="15">
        <f>1.33+5.11+1.54-0.231+0.182-0.017-0.166-0.062-0.401-0.092-1.131-0.351-0.183-0.043-0.237-0.476-0.032-0.047-0.061-0.152</f>
        <v>4.4800000000000004</v>
      </c>
    </row>
    <row r="1279" spans="1:5" x14ac:dyDescent="0.3">
      <c r="A1279" s="12">
        <v>89</v>
      </c>
      <c r="B1279" s="12">
        <v>16</v>
      </c>
      <c r="C1279" s="12" t="s">
        <v>35</v>
      </c>
      <c r="D1279" s="8" t="s">
        <v>32</v>
      </c>
      <c r="E1279" s="15">
        <v>2</v>
      </c>
    </row>
    <row r="1280" spans="1:5" x14ac:dyDescent="0.3">
      <c r="A1280" s="8">
        <v>89</v>
      </c>
      <c r="B1280" s="8">
        <v>16</v>
      </c>
      <c r="C1280" s="8" t="s">
        <v>28</v>
      </c>
      <c r="D1280" s="8" t="s">
        <v>1</v>
      </c>
      <c r="E1280" s="9">
        <f>5.2-0.056-0.431-0.982+4.95-0.062-0.047-0.474</f>
        <v>8.0980000000000008</v>
      </c>
    </row>
    <row r="1281" spans="1:5" x14ac:dyDescent="0.3">
      <c r="A1281" s="10">
        <v>89</v>
      </c>
      <c r="B1281" s="10">
        <v>16</v>
      </c>
      <c r="C1281" s="10" t="s">
        <v>95</v>
      </c>
      <c r="D1281" s="10" t="s">
        <v>1</v>
      </c>
      <c r="E1281" s="15">
        <f>5.04-0.79</f>
        <v>4.25</v>
      </c>
    </row>
    <row r="1282" spans="1:5" x14ac:dyDescent="0.3">
      <c r="A1282" s="10">
        <v>89</v>
      </c>
      <c r="B1282" s="10">
        <v>16</v>
      </c>
      <c r="C1282" s="10" t="s">
        <v>30</v>
      </c>
      <c r="D1282" s="10" t="s">
        <v>1</v>
      </c>
      <c r="E1282" s="15">
        <f>5.12-0.235-0.232-0.181-0.25-0.193</f>
        <v>4.0289999999999999</v>
      </c>
    </row>
    <row r="1283" spans="1:5" x14ac:dyDescent="0.3">
      <c r="A1283" s="10">
        <v>89</v>
      </c>
      <c r="B1283" s="10">
        <v>18</v>
      </c>
      <c r="C1283" s="10" t="s">
        <v>26</v>
      </c>
      <c r="D1283" s="10" t="s">
        <v>1</v>
      </c>
      <c r="E1283" s="15">
        <f>5.14-0.363-0.061-0.353-0.536-0.098-0.044-0.1-0.014-0.182-0.176-0.86-0.1-0.055-0.044-0.121-0.078-0.275-0.037-0.182-0.178-0.023-0.183-0.034-0.354-0.036-0.035-0.035-0.042</f>
        <v>0.54099999999999937</v>
      </c>
    </row>
    <row r="1284" spans="1:5" x14ac:dyDescent="0.3">
      <c r="A1284" s="8">
        <v>89</v>
      </c>
      <c r="B1284" s="8">
        <v>18</v>
      </c>
      <c r="C1284" s="8" t="s">
        <v>26</v>
      </c>
      <c r="D1284" s="8" t="s">
        <v>64</v>
      </c>
      <c r="E1284" s="9">
        <f>9.385-0.301+0.585-0.101-0.098-0.397-0.018-0.054</f>
        <v>9.0009999999999977</v>
      </c>
    </row>
    <row r="1285" spans="1:5" x14ac:dyDescent="0.3">
      <c r="A1285" s="10">
        <v>89</v>
      </c>
      <c r="B1285" s="10">
        <v>18</v>
      </c>
      <c r="C1285" s="10" t="s">
        <v>28</v>
      </c>
      <c r="D1285" s="10" t="s">
        <v>1</v>
      </c>
      <c r="E1285" s="15">
        <f>5.074-0.015-0.43-0.215-0.444-0.89-0.215-0.086-0.113-0.43-0.034-0.187-0.018-1.877-0.217+0.3-0.043-0.167+0.017</f>
        <v>1.0000000000000966E-2</v>
      </c>
    </row>
    <row r="1286" spans="1:5" x14ac:dyDescent="0.3">
      <c r="A1286" s="8">
        <v>89</v>
      </c>
      <c r="B1286" s="8">
        <v>18</v>
      </c>
      <c r="C1286" s="8" t="s">
        <v>28</v>
      </c>
      <c r="D1286" s="8" t="s">
        <v>1</v>
      </c>
      <c r="E1286" s="9">
        <f>4.77-0.515-1.51-0.034-0.533-0.8-0.268+2.74-0.036+2.725-0.044</f>
        <v>6.495000000000001</v>
      </c>
    </row>
    <row r="1287" spans="1:5" x14ac:dyDescent="0.3">
      <c r="A1287" s="10">
        <v>89</v>
      </c>
      <c r="B1287" s="10">
        <v>19</v>
      </c>
      <c r="C1287" s="10">
        <v>20</v>
      </c>
      <c r="D1287" s="10" t="s">
        <v>1</v>
      </c>
      <c r="E1287" s="15">
        <f>0.57+0.525-0.018</f>
        <v>1.077</v>
      </c>
    </row>
    <row r="1288" spans="1:5" x14ac:dyDescent="0.3">
      <c r="A1288" s="10">
        <v>89</v>
      </c>
      <c r="B1288" s="10">
        <v>20</v>
      </c>
      <c r="C1288" s="10">
        <v>20</v>
      </c>
      <c r="D1288" s="10" t="s">
        <v>1</v>
      </c>
      <c r="E1288" s="15">
        <f>5.4+5.4-0.189-0.037-0.013-0.096-0.29-0.015-0.191-0.036-0.04-0.024-0.225-0.075-0.019-0.054-0.14-0.56-0.072-0.037-0.107-0.214-0.289-0.076-0.29-0.072+0.057-0.069-0.072-0.574-0.072-0.075-0.857</f>
        <v>5.9770000000000012</v>
      </c>
    </row>
    <row r="1289" spans="1:5" x14ac:dyDescent="0.3">
      <c r="A1289" s="10">
        <v>89</v>
      </c>
      <c r="B1289" s="10">
        <v>20</v>
      </c>
      <c r="C1289" s="10" t="s">
        <v>26</v>
      </c>
      <c r="D1289" s="10" t="s">
        <v>64</v>
      </c>
      <c r="E1289" s="15">
        <f>4.53-0.107-0.072-0.072-0.058-0.325-0.071-0.041-0.037-0.048-0.108-0.034-0.037-0.072-0.205-0.054-0.142-0.088-0.026-0.037</f>
        <v>2.8960000000000004</v>
      </c>
    </row>
    <row r="1290" spans="1:5" x14ac:dyDescent="0.3">
      <c r="A1290" s="10">
        <v>89</v>
      </c>
      <c r="B1290" s="10">
        <v>20</v>
      </c>
      <c r="C1290" s="10">
        <v>35</v>
      </c>
      <c r="D1290" s="10" t="s">
        <v>1</v>
      </c>
      <c r="E1290" s="15">
        <f>16.91-0.073-0.451-1.32+6.89-0.218-0.442-1.12-0.225-0.437-0.11</f>
        <v>19.403999999999996</v>
      </c>
    </row>
    <row r="1291" spans="1:5" x14ac:dyDescent="0.3">
      <c r="A1291" s="10">
        <v>89</v>
      </c>
      <c r="B1291" s="10">
        <v>20</v>
      </c>
      <c r="C1291" s="10">
        <v>45</v>
      </c>
      <c r="D1291" s="10" t="s">
        <v>1</v>
      </c>
      <c r="E1291" s="15">
        <f>4.58+5.11+0.27+0.369-0.29-1.149-0.056-0.288-0.289-0.044-0.025-0.037-0.13-0.291-0.286-0.106-0.107-0.076-0.037-0.286-0.054-0.21-0.037-0.054</f>
        <v>6.4769999999999994</v>
      </c>
    </row>
    <row r="1292" spans="1:5" x14ac:dyDescent="0.3">
      <c r="A1292" s="8">
        <v>89</v>
      </c>
      <c r="B1292" s="8">
        <v>20</v>
      </c>
      <c r="C1292" s="8" t="s">
        <v>36</v>
      </c>
      <c r="D1292" s="8" t="s">
        <v>1</v>
      </c>
      <c r="E1292" s="9">
        <f>5.947-2.865-2.028+9.28-1.212-1.23</f>
        <v>7.8919999999999995</v>
      </c>
    </row>
    <row r="1293" spans="1:5" x14ac:dyDescent="0.3">
      <c r="A1293" s="10">
        <v>89</v>
      </c>
      <c r="B1293" s="10">
        <v>20</v>
      </c>
      <c r="C1293" s="10" t="s">
        <v>28</v>
      </c>
      <c r="D1293" s="10" t="s">
        <v>1</v>
      </c>
      <c r="E1293" s="15">
        <v>3.6999999999999998E-2</v>
      </c>
    </row>
    <row r="1294" spans="1:5" x14ac:dyDescent="0.3">
      <c r="A1294" s="10">
        <v>89</v>
      </c>
      <c r="B1294" s="10">
        <v>20</v>
      </c>
      <c r="C1294" s="10" t="s">
        <v>28</v>
      </c>
      <c r="D1294" s="10" t="s">
        <v>1</v>
      </c>
      <c r="E1294" s="15">
        <f>3.529+1.49-0.318-0.131+0.113-1.087-0.325-1.15-0.227-0.074-0.052-0.167-0.114-0.956+5.06-0.039-0.117-0.219-0.189-0.039-0.157-0.584</f>
        <v>4.2470000000000008</v>
      </c>
    </row>
    <row r="1295" spans="1:5" x14ac:dyDescent="0.3">
      <c r="A1295" s="10">
        <v>89</v>
      </c>
      <c r="B1295" s="10">
        <v>20</v>
      </c>
      <c r="C1295" s="10" t="s">
        <v>95</v>
      </c>
      <c r="D1295" s="10" t="s">
        <v>1</v>
      </c>
      <c r="E1295" s="15">
        <f>5-0.53-0.796</f>
        <v>3.6739999999999995</v>
      </c>
    </row>
    <row r="1296" spans="1:5" x14ac:dyDescent="0.3">
      <c r="A1296" s="10">
        <v>89</v>
      </c>
      <c r="B1296" s="10">
        <v>20</v>
      </c>
      <c r="C1296" s="10" t="s">
        <v>30</v>
      </c>
      <c r="D1296" s="10" t="s">
        <v>1</v>
      </c>
      <c r="E1296" s="15">
        <f>4.88-0.251-0.504-0.142</f>
        <v>3.9830000000000001</v>
      </c>
    </row>
    <row r="1297" spans="1:5" x14ac:dyDescent="0.3">
      <c r="A1297" s="10">
        <v>89</v>
      </c>
      <c r="B1297" s="10">
        <v>22</v>
      </c>
      <c r="C1297" s="10" t="s">
        <v>26</v>
      </c>
      <c r="D1297" s="10" t="s">
        <v>1</v>
      </c>
      <c r="E1297" s="15">
        <f>1.4+10.07-0.04-0.062-0.095-0.058-0.225-0.194-0.296-0.062-0.032-0.116-0.41-0.305-0.287-0.306+0.009-0.613-0.04-1.8-0.058-2.99-0.02-0.305-0.194-0.076-0.296-0.308-0.114-0.114-0.04-0.304-0.069-0.616-0.157-0.081-0.098</f>
        <v>0.69800000000000517</v>
      </c>
    </row>
    <row r="1298" spans="1:5" x14ac:dyDescent="0.3">
      <c r="A1298" s="8">
        <v>89</v>
      </c>
      <c r="B1298" s="8">
        <v>22</v>
      </c>
      <c r="C1298" s="13" t="s">
        <v>28</v>
      </c>
      <c r="D1298" s="8" t="s">
        <v>1</v>
      </c>
      <c r="E1298" s="9">
        <f>0.026+0.036-0.022</f>
        <v>0.04</v>
      </c>
    </row>
    <row r="1299" spans="1:5" x14ac:dyDescent="0.3">
      <c r="A1299" s="10">
        <v>89</v>
      </c>
      <c r="B1299" s="10">
        <v>22</v>
      </c>
      <c r="C1299" s="10" t="s">
        <v>28</v>
      </c>
      <c r="D1299" s="10" t="s">
        <v>1</v>
      </c>
      <c r="E1299" s="15">
        <f>5.16-0.275-0.268-0.269-0.8-0.82-0.04+2.7-0.28+2.71-0.04-0.309-0.077</f>
        <v>7.3919999999999995</v>
      </c>
    </row>
    <row r="1300" spans="1:5" x14ac:dyDescent="0.3">
      <c r="A1300" s="10">
        <v>89</v>
      </c>
      <c r="B1300" s="10">
        <v>22</v>
      </c>
      <c r="C1300" s="10" t="s">
        <v>41</v>
      </c>
      <c r="D1300" s="10" t="s">
        <v>1</v>
      </c>
      <c r="E1300" s="15">
        <v>0.33</v>
      </c>
    </row>
    <row r="1301" spans="1:5" x14ac:dyDescent="0.3">
      <c r="A1301" s="10">
        <v>89</v>
      </c>
      <c r="B1301" s="10">
        <v>22</v>
      </c>
      <c r="C1301" s="10" t="s">
        <v>30</v>
      </c>
      <c r="D1301" s="10" t="s">
        <v>1</v>
      </c>
      <c r="E1301" s="15">
        <f>1.57+0.148-0.132-0.246-0.113-0.245-0.49-0.111+4.89-0.247-0.499-0.245-0.511-0.25-0.503-0.248-0.039</f>
        <v>2.7289999999999996</v>
      </c>
    </row>
    <row r="1302" spans="1:5" x14ac:dyDescent="0.3">
      <c r="A1302" s="8">
        <v>89</v>
      </c>
      <c r="B1302" s="8">
        <v>24</v>
      </c>
      <c r="C1302" s="8">
        <v>20</v>
      </c>
      <c r="D1302" s="8" t="s">
        <v>1</v>
      </c>
      <c r="E1302" s="9">
        <v>5</v>
      </c>
    </row>
    <row r="1303" spans="1:5" x14ac:dyDescent="0.3">
      <c r="A1303" s="10">
        <v>89</v>
      </c>
      <c r="B1303" s="10">
        <v>24</v>
      </c>
      <c r="C1303" s="10" t="s">
        <v>26</v>
      </c>
      <c r="D1303" s="10" t="s">
        <v>1</v>
      </c>
      <c r="E1303" s="15">
        <f>4.74-0.022+0.22-0.065-0.15-0.24-0.68-0.119-0.113-0.476-0.239-0.096-0.178-0.236-0.366-0.236-1.846+0.157</f>
        <v>5.4999999999998134E-2</v>
      </c>
    </row>
    <row r="1304" spans="1:5" x14ac:dyDescent="0.3">
      <c r="A1304" s="8">
        <v>89</v>
      </c>
      <c r="B1304" s="8">
        <v>24</v>
      </c>
      <c r="C1304" s="8" t="s">
        <v>26</v>
      </c>
      <c r="D1304" s="8" t="s">
        <v>64</v>
      </c>
      <c r="E1304" s="9">
        <f>3.765+1.475-0.082-0.082-0.162-1.232-0.747-0.067</f>
        <v>2.8680000000000003</v>
      </c>
    </row>
    <row r="1305" spans="1:5" x14ac:dyDescent="0.3">
      <c r="A1305" s="8">
        <v>89</v>
      </c>
      <c r="B1305" s="8">
        <v>24</v>
      </c>
      <c r="C1305" s="8">
        <v>45</v>
      </c>
      <c r="D1305" s="8" t="s">
        <v>1</v>
      </c>
      <c r="E1305" s="9">
        <v>5</v>
      </c>
    </row>
    <row r="1306" spans="1:5" x14ac:dyDescent="0.3">
      <c r="A1306" s="8">
        <v>89</v>
      </c>
      <c r="B1306" s="8">
        <v>24</v>
      </c>
      <c r="C1306" s="8" t="s">
        <v>28</v>
      </c>
      <c r="D1306" s="8" t="s">
        <v>1</v>
      </c>
      <c r="E1306" s="9">
        <f>2.37+2.6-0.715-0.061-0.138-0.97-0.243-0.243-0.024-0.483</f>
        <v>2.0930000000000013</v>
      </c>
    </row>
    <row r="1307" spans="1:5" x14ac:dyDescent="0.3">
      <c r="A1307" s="10">
        <v>89</v>
      </c>
      <c r="B1307" s="10">
        <v>24</v>
      </c>
      <c r="C1307" s="10" t="s">
        <v>95</v>
      </c>
      <c r="D1307" s="10" t="s">
        <v>1</v>
      </c>
      <c r="E1307" s="15">
        <f>2.73-1.61+2.11-0.041</f>
        <v>3.1889999999999996</v>
      </c>
    </row>
    <row r="1308" spans="1:5" x14ac:dyDescent="0.3">
      <c r="A1308" s="10">
        <v>89</v>
      </c>
      <c r="B1308" s="10">
        <v>24</v>
      </c>
      <c r="C1308" s="10" t="s">
        <v>30</v>
      </c>
      <c r="D1308" s="10" t="s">
        <v>1</v>
      </c>
      <c r="E1308" s="15">
        <f>5.385-0.221-0.378-0.236-0.384-0.041-0.193-0.282-0.235-0.367-0.041-0.377-0.157-2.399-0.091+0.16+5.49-0.308-0.042-0.041-0.238-0.022-0.304-0.196-0.313-0.112-0.041</f>
        <v>4.0159999999999991</v>
      </c>
    </row>
    <row r="1309" spans="1:5" x14ac:dyDescent="0.3">
      <c r="A1309" s="10">
        <v>90</v>
      </c>
      <c r="B1309" s="10">
        <v>5</v>
      </c>
      <c r="C1309" s="10">
        <v>20</v>
      </c>
      <c r="D1309" s="10" t="s">
        <v>4</v>
      </c>
      <c r="E1309" s="15">
        <f>10.14+0.002-0.51-0.065+0.031-0.012+0.004-0.017+0.005+0.021-0.067-0.066-0.012-0.065-0.028-0.016-0.055-0.066-0.13-0.002-0.19-0.39-0.326-0.012-0.003-0.021-0.13-0.065-0.131-0.131-0.454-0.005-0.003-0.065-0.05-0.012-0.065-0.008-0.066-0.07-0.26-0.007-0.196-0.059-0.131-0.012-0.26</f>
        <v>5.969999999999998</v>
      </c>
    </row>
    <row r="1310" spans="1:5" x14ac:dyDescent="0.3">
      <c r="A1310" s="13">
        <v>93</v>
      </c>
      <c r="B1310" s="13">
        <v>21</v>
      </c>
      <c r="C1310" s="13" t="s">
        <v>30</v>
      </c>
      <c r="D1310" s="13" t="s">
        <v>1</v>
      </c>
      <c r="E1310" s="16">
        <f>0.691-0.24-0.231+0.022-0.24+0.021+5.115-0.023-4.8</f>
        <v>0.31500000000000039</v>
      </c>
    </row>
    <row r="1311" spans="1:5" x14ac:dyDescent="0.3">
      <c r="A1311" s="10">
        <v>93</v>
      </c>
      <c r="B1311" s="10">
        <v>21</v>
      </c>
      <c r="C1311" s="10" t="s">
        <v>30</v>
      </c>
      <c r="D1311" s="10" t="s">
        <v>1</v>
      </c>
      <c r="E1311" s="15">
        <f>4.8-0.361-0.059</f>
        <v>4.38</v>
      </c>
    </row>
    <row r="1312" spans="1:5" x14ac:dyDescent="0.3">
      <c r="A1312" s="10">
        <v>95</v>
      </c>
      <c r="B1312" s="10">
        <v>5</v>
      </c>
      <c r="C1312" s="10">
        <v>20</v>
      </c>
      <c r="D1312" s="10" t="s">
        <v>1</v>
      </c>
      <c r="E1312" s="15">
        <f>2.76-0.002-0.006</f>
        <v>2.7520000000000002</v>
      </c>
    </row>
    <row r="1313" spans="1:5" x14ac:dyDescent="0.3">
      <c r="A1313" s="8">
        <v>95</v>
      </c>
      <c r="B1313" s="8">
        <v>6</v>
      </c>
      <c r="C1313" s="8">
        <v>20</v>
      </c>
      <c r="D1313" s="8" t="s">
        <v>1</v>
      </c>
      <c r="E1313" s="9">
        <v>5</v>
      </c>
    </row>
    <row r="1314" spans="1:5" x14ac:dyDescent="0.3">
      <c r="A1314" s="10">
        <v>95</v>
      </c>
      <c r="B1314" s="10">
        <v>6</v>
      </c>
      <c r="C1314" s="10" t="s">
        <v>26</v>
      </c>
      <c r="D1314" s="10" t="s">
        <v>1</v>
      </c>
      <c r="E1314" s="15">
        <f>9.56-0.022-1.51+1.11-0.008-0.045-0.136-0.008-0.187-0.123-0.018-0.009-0.265-0.015-0.39-0.005-0.008-0.085-0.015-0.136-0.042-0.138-0.135-0.029-0.08-0.136-0.036-0.073-0.023-0.03-0.275-0.029-0.402-0.262-0.057-0.015-0.202-0.031-0.021-0.271-0.135-0.029-0.005-0.084-0.233-0.256-0.018-0.138-0.025-0.022-0.038-0.008-0.133-0.121-0.025-0.03-0.029-0.216-0.005-0.009-0.013-0.034-0.028-0.025-0.228-0.136-0.024-0.397-0.009-0.51-0.588-0.41-0.138-0.029-0.129-0.022-1.365+0.3</f>
        <v>5.4000000000003101E-2</v>
      </c>
    </row>
    <row r="1315" spans="1:5" x14ac:dyDescent="0.3">
      <c r="A1315" s="10">
        <v>95</v>
      </c>
      <c r="B1315" s="10">
        <v>6</v>
      </c>
      <c r="C1315" s="10" t="s">
        <v>26</v>
      </c>
      <c r="D1315" s="10" t="s">
        <v>64</v>
      </c>
      <c r="E1315" s="15">
        <f>5.03-0.015</f>
        <v>5.0150000000000006</v>
      </c>
    </row>
    <row r="1316" spans="1:5" x14ac:dyDescent="0.3">
      <c r="A1316" s="10">
        <v>95</v>
      </c>
      <c r="B1316" s="10">
        <v>8</v>
      </c>
      <c r="C1316" s="10">
        <v>20</v>
      </c>
      <c r="D1316" s="10" t="s">
        <v>1</v>
      </c>
      <c r="E1316" s="15">
        <f>1.024-0.019</f>
        <v>1.0050000000000001</v>
      </c>
    </row>
    <row r="1317" spans="1:5" x14ac:dyDescent="0.3">
      <c r="A1317" s="8">
        <v>95</v>
      </c>
      <c r="B1317" s="8">
        <v>8</v>
      </c>
      <c r="C1317" s="8">
        <v>20</v>
      </c>
      <c r="D1317" s="8" t="s">
        <v>1</v>
      </c>
      <c r="E1317" s="9">
        <v>5</v>
      </c>
    </row>
    <row r="1318" spans="1:5" x14ac:dyDescent="0.3">
      <c r="A1318" s="10">
        <v>95</v>
      </c>
      <c r="B1318" s="10">
        <v>8</v>
      </c>
      <c r="C1318" s="10" t="s">
        <v>54</v>
      </c>
      <c r="D1318" s="10" t="s">
        <v>55</v>
      </c>
      <c r="E1318" s="15">
        <f>0.198-0.038</f>
        <v>0.16</v>
      </c>
    </row>
    <row r="1319" spans="1:5" x14ac:dyDescent="0.3">
      <c r="A1319" s="10">
        <v>95</v>
      </c>
      <c r="B1319" s="10">
        <v>8</v>
      </c>
      <c r="C1319" s="10" t="s">
        <v>54</v>
      </c>
      <c r="D1319" s="10" t="s">
        <v>55</v>
      </c>
      <c r="E1319" s="15">
        <f>3.005+0.038-0.038-0.004</f>
        <v>3.0009999999999999</v>
      </c>
    </row>
    <row r="1320" spans="1:5" x14ac:dyDescent="0.3">
      <c r="A1320" s="8">
        <v>95</v>
      </c>
      <c r="B1320" s="8">
        <v>8</v>
      </c>
      <c r="C1320" s="8" t="s">
        <v>26</v>
      </c>
      <c r="D1320" s="8" t="s">
        <v>64</v>
      </c>
      <c r="E1320" s="9">
        <f>5.34-0.055-0.111-0.166-0.104-3.088-0.165-0.063-0.028-0.054-0.014-0.06-0.037-0.07-0.018-0.007-0.007-0.055-0.064-0.049-0.036-0.036-0.109-0.038-0.165-0.023-0.326-0.164-0.046-0.005-0.164+0.3-0.01-0.048</f>
        <v>0.25499999999999984</v>
      </c>
    </row>
    <row r="1321" spans="1:5" x14ac:dyDescent="0.3">
      <c r="A1321" s="8">
        <v>95</v>
      </c>
      <c r="B1321" s="8">
        <v>8</v>
      </c>
      <c r="C1321" s="8" t="s">
        <v>28</v>
      </c>
      <c r="D1321" s="8" t="s">
        <v>1</v>
      </c>
      <c r="E1321" s="15">
        <f>5.07-0.019-0.02</f>
        <v>5.0310000000000006</v>
      </c>
    </row>
    <row r="1322" spans="1:5" x14ac:dyDescent="0.3">
      <c r="A1322" s="10">
        <v>95</v>
      </c>
      <c r="B1322" s="10">
        <v>9</v>
      </c>
      <c r="C1322" s="10">
        <v>45</v>
      </c>
      <c r="D1322" s="10" t="s">
        <v>1</v>
      </c>
      <c r="E1322" s="15">
        <f>0.025+0.99+0.525-0.025+0.052-0.18-0.134-0.255-0.258-0.39-0.032-0.021-0.255-0.021</f>
        <v>2.1000000000000036E-2</v>
      </c>
    </row>
    <row r="1323" spans="1:5" x14ac:dyDescent="0.3">
      <c r="A1323" s="8">
        <v>95</v>
      </c>
      <c r="B1323" s="8">
        <v>10</v>
      </c>
      <c r="C1323" s="8">
        <v>20</v>
      </c>
      <c r="D1323" s="8" t="s">
        <v>1</v>
      </c>
      <c r="E1323" s="9">
        <v>5</v>
      </c>
    </row>
    <row r="1324" spans="1:5" x14ac:dyDescent="0.3">
      <c r="A1324" s="8">
        <v>95</v>
      </c>
      <c r="B1324" s="8">
        <v>10</v>
      </c>
      <c r="C1324" s="8" t="s">
        <v>26</v>
      </c>
      <c r="D1324" s="8" t="s">
        <v>1</v>
      </c>
      <c r="E1324" s="9">
        <f>4.975-0.015-0.19-0.066-0.081-0.023-0.131-0.115-0.197-0.079-0.068-0.033-0.024-1.003-0.045</f>
        <v>2.9050000000000002</v>
      </c>
    </row>
    <row r="1325" spans="1:5" x14ac:dyDescent="0.3">
      <c r="A1325" s="8">
        <v>95</v>
      </c>
      <c r="B1325" s="8">
        <v>10</v>
      </c>
      <c r="C1325" s="8">
        <v>35</v>
      </c>
      <c r="D1325" s="8" t="s">
        <v>1</v>
      </c>
      <c r="E1325" s="9">
        <f>3.2+0.89-0.537-0.345-0.171-0.088-0.021-0.065-1.541-0.173-0.219-0.049-0.056-0.045-0.131</f>
        <v>0.64900000000000035</v>
      </c>
    </row>
    <row r="1326" spans="1:5" x14ac:dyDescent="0.3">
      <c r="A1326" s="8">
        <v>95</v>
      </c>
      <c r="B1326" s="8">
        <v>10</v>
      </c>
      <c r="C1326" s="8">
        <v>45</v>
      </c>
      <c r="D1326" s="8" t="s">
        <v>1</v>
      </c>
      <c r="E1326" s="9">
        <v>5</v>
      </c>
    </row>
    <row r="1327" spans="1:5" x14ac:dyDescent="0.3">
      <c r="A1327" s="10">
        <v>95</v>
      </c>
      <c r="B1327" s="10">
        <v>10</v>
      </c>
      <c r="C1327" s="10" t="s">
        <v>30</v>
      </c>
      <c r="D1327" s="10" t="s">
        <v>1</v>
      </c>
      <c r="E1327" s="15">
        <f>4.972-0.324-0.472-0.032-0.066-0.309-1.14-0.081-0.145-2.43+0.26-0.023-0.02-0.063</f>
        <v>0.12700000000000033</v>
      </c>
    </row>
    <row r="1328" spans="1:5" x14ac:dyDescent="0.3">
      <c r="A1328" s="10">
        <v>95</v>
      </c>
      <c r="B1328" s="10">
        <v>10</v>
      </c>
      <c r="C1328" s="10" t="s">
        <v>30</v>
      </c>
      <c r="D1328" s="10" t="s">
        <v>1</v>
      </c>
      <c r="E1328" s="15">
        <f>2.43+0.02+0.063-0.031-0.282-0.032-0.026-0.448-0.023-0.56-0.423-0.023-0.727+0.296-0.118-0.097</f>
        <v>1.9000000000000378E-2</v>
      </c>
    </row>
    <row r="1329" spans="1:5" x14ac:dyDescent="0.3">
      <c r="A1329" s="10">
        <v>95</v>
      </c>
      <c r="B1329" s="10">
        <v>10</v>
      </c>
      <c r="C1329" s="10" t="s">
        <v>30</v>
      </c>
      <c r="D1329" s="10" t="s">
        <v>1</v>
      </c>
      <c r="E1329" s="15">
        <f>2.755+2.73-0.132-0.014-0.057-0.4-0.023</f>
        <v>4.8589999999999991</v>
      </c>
    </row>
    <row r="1330" spans="1:5" x14ac:dyDescent="0.3">
      <c r="A1330" s="10">
        <v>95</v>
      </c>
      <c r="B1330" s="10">
        <v>10</v>
      </c>
      <c r="C1330" s="10" t="s">
        <v>106</v>
      </c>
      <c r="D1330" s="10" t="s">
        <v>1</v>
      </c>
      <c r="E1330" s="15">
        <f>4.49-0.056</f>
        <v>4.4340000000000002</v>
      </c>
    </row>
    <row r="1331" spans="1:5" x14ac:dyDescent="0.3">
      <c r="A1331" s="10">
        <v>95</v>
      </c>
      <c r="B1331" s="10">
        <v>11</v>
      </c>
      <c r="C1331" s="10" t="s">
        <v>36</v>
      </c>
      <c r="D1331" s="10" t="s">
        <v>1</v>
      </c>
      <c r="E1331" s="15">
        <f>0.375-0.101-0.061-0.197+0.015</f>
        <v>3.1000000000000014E-2</v>
      </c>
    </row>
    <row r="1332" spans="1:5" x14ac:dyDescent="0.3">
      <c r="A1332" s="8">
        <v>95</v>
      </c>
      <c r="B1332" s="8">
        <v>12</v>
      </c>
      <c r="C1332" s="8">
        <v>20</v>
      </c>
      <c r="D1332" s="8" t="s">
        <v>1</v>
      </c>
      <c r="E1332" s="9">
        <v>5</v>
      </c>
    </row>
    <row r="1333" spans="1:5" x14ac:dyDescent="0.3">
      <c r="A1333" s="8">
        <v>95</v>
      </c>
      <c r="B1333" s="8">
        <v>12</v>
      </c>
      <c r="C1333" s="8">
        <v>35</v>
      </c>
      <c r="D1333" s="8" t="s">
        <v>1</v>
      </c>
      <c r="E1333" s="9">
        <v>3</v>
      </c>
    </row>
    <row r="1334" spans="1:5" x14ac:dyDescent="0.3">
      <c r="A1334" s="8">
        <v>95</v>
      </c>
      <c r="B1334" s="8">
        <v>12</v>
      </c>
      <c r="C1334" s="8">
        <v>45</v>
      </c>
      <c r="D1334" s="8" t="s">
        <v>1</v>
      </c>
      <c r="E1334" s="9">
        <v>5</v>
      </c>
    </row>
    <row r="1335" spans="1:5" x14ac:dyDescent="0.3">
      <c r="A1335" s="10">
        <v>95</v>
      </c>
      <c r="B1335" s="10">
        <v>12</v>
      </c>
      <c r="C1335" s="10" t="s">
        <v>36</v>
      </c>
      <c r="D1335" s="10" t="s">
        <v>1</v>
      </c>
      <c r="E1335" s="15">
        <f>4.855-0.152-0.103-0.052-0.108-0.23</f>
        <v>4.2100000000000009</v>
      </c>
    </row>
    <row r="1336" spans="1:5" x14ac:dyDescent="0.3">
      <c r="A1336" s="10">
        <v>95</v>
      </c>
      <c r="B1336" s="10">
        <v>12</v>
      </c>
      <c r="C1336" s="10" t="s">
        <v>28</v>
      </c>
      <c r="D1336" s="10" t="s">
        <v>1</v>
      </c>
      <c r="E1336" s="15">
        <f>2.625+2.345-0.063-0.18-0.237-0.102-0.033-0.474-0.218-0.117-0.065-0.236-0.052-0.249-0.465-0.099-0.24-0.013-0.24-0.079</f>
        <v>1.8079999999999998</v>
      </c>
    </row>
    <row r="1337" spans="1:5" x14ac:dyDescent="0.3">
      <c r="A1337" s="10">
        <v>95</v>
      </c>
      <c r="B1337" s="10">
        <v>12</v>
      </c>
      <c r="C1337" s="10" t="s">
        <v>30</v>
      </c>
      <c r="D1337" s="10" t="s">
        <v>1</v>
      </c>
      <c r="E1337" s="15">
        <f>4.255+0.43+0.205-0.027-0.027-0.472-0.04-0.027-0.483-0.1</f>
        <v>3.7139999999999986</v>
      </c>
    </row>
    <row r="1338" spans="1:5" x14ac:dyDescent="0.3">
      <c r="A1338" s="8">
        <v>95</v>
      </c>
      <c r="B1338" s="8">
        <v>12</v>
      </c>
      <c r="C1338" s="8" t="s">
        <v>30</v>
      </c>
      <c r="D1338" s="8" t="s">
        <v>1</v>
      </c>
      <c r="E1338" s="9">
        <v>5</v>
      </c>
    </row>
    <row r="1339" spans="1:5" x14ac:dyDescent="0.3">
      <c r="A1339" s="8">
        <v>95</v>
      </c>
      <c r="B1339" s="8">
        <v>14</v>
      </c>
      <c r="C1339" s="8">
        <v>20</v>
      </c>
      <c r="D1339" s="8" t="s">
        <v>1</v>
      </c>
      <c r="E1339" s="9">
        <v>5</v>
      </c>
    </row>
    <row r="1340" spans="1:5" x14ac:dyDescent="0.3">
      <c r="A1340" s="10">
        <v>95</v>
      </c>
      <c r="B1340" s="10">
        <v>14</v>
      </c>
      <c r="C1340" s="10" t="s">
        <v>26</v>
      </c>
      <c r="D1340" s="10" t="s">
        <v>1</v>
      </c>
      <c r="E1340" s="15">
        <f>4.91-0.181-0.142-0.058-0.121-0.016-0.073-0.019-0.088-1.14-0.03-0.335-0.047-0.176-0.296-0.03-0.065-0.182-0.112-0.03-0.063-0.033-0.008-0.145-0.031-0.13-0.03-0.088-0.023-0.19-0.088-0.16-0.014-0.025-0.177-0.039-0.065-0.03-0.016-0.01-0.076-0.039-0.031-0.03-0.058-0.086-0.009-0.088-0.016+0.2-0.059</f>
        <v>0.1119999999999996</v>
      </c>
    </row>
    <row r="1341" spans="1:5" x14ac:dyDescent="0.3">
      <c r="A1341" s="10">
        <v>95</v>
      </c>
      <c r="B1341" s="10">
        <v>14</v>
      </c>
      <c r="C1341" s="10" t="s">
        <v>28</v>
      </c>
      <c r="D1341" s="10" t="s">
        <v>1</v>
      </c>
      <c r="E1341" s="15">
        <f>4.865-0.194-0.086-1.407-0.216-0.194-0.113-0.037-0.115-0.03-0.061-0.383-1.01-0.092-0.193-0.115-0.016-0.115-0.143+4.138-0.029-0.183-0.05-0.16-0.18-0.15-1.16-0.145-0.086-0.6-0.115-0.193-0.569-0.184-0.509+0.016-0.128+0.193+4.685-1.002-0.25-0.783-0.518-0.252-0.06-0.107-0.005-0.031-0.745+0.107-0.18-0.501-0.713+0.596+2.23+2.035+2.27-0.117</f>
        <v>6.9099999999999993</v>
      </c>
    </row>
    <row r="1342" spans="1:5" x14ac:dyDescent="0.3">
      <c r="A1342" s="10">
        <v>95</v>
      </c>
      <c r="B1342" s="10">
        <v>14</v>
      </c>
      <c r="C1342" s="10" t="s">
        <v>30</v>
      </c>
      <c r="D1342" s="10" t="s">
        <v>1</v>
      </c>
      <c r="E1342" s="15">
        <f>5.07+1.01-0.263-0.044-0.063-0.163</f>
        <v>5.5470000000000006</v>
      </c>
    </row>
    <row r="1343" spans="1:5" x14ac:dyDescent="0.3">
      <c r="A1343" s="8">
        <v>95</v>
      </c>
      <c r="B1343" s="8">
        <v>16</v>
      </c>
      <c r="C1343" s="8">
        <v>20</v>
      </c>
      <c r="D1343" s="8" t="s">
        <v>1</v>
      </c>
      <c r="E1343" s="9">
        <v>5</v>
      </c>
    </row>
    <row r="1344" spans="1:5" x14ac:dyDescent="0.3">
      <c r="A1344" s="10">
        <v>95</v>
      </c>
      <c r="B1344" s="10">
        <v>16</v>
      </c>
      <c r="C1344" s="10" t="s">
        <v>26</v>
      </c>
      <c r="D1344" s="10" t="s">
        <v>1</v>
      </c>
      <c r="E1344" s="15">
        <f>4.93-0.238-0.097-0.143-0.242-0.097-0.143-0.065-0.074-0.238+0.318-0.012-0.037-0.17-0.097-0.069-0.06-0.027-0.168-0.233-0.464-0.097-0.097-0.237-0.241-0.091-0.143-0.475-0.097-0.233-0.22-0.074-0.05-0.455-0.24+0.23-0.036</f>
        <v>1.799999999999969E-2</v>
      </c>
    </row>
    <row r="1345" spans="1:5" x14ac:dyDescent="0.3">
      <c r="A1345" s="8">
        <v>95</v>
      </c>
      <c r="B1345" s="8">
        <v>16</v>
      </c>
      <c r="C1345" s="8">
        <v>35</v>
      </c>
      <c r="D1345" s="8" t="s">
        <v>1</v>
      </c>
      <c r="E1345" s="9">
        <v>3</v>
      </c>
    </row>
    <row r="1346" spans="1:5" x14ac:dyDescent="0.3">
      <c r="A1346" s="8">
        <v>95</v>
      </c>
      <c r="B1346" s="8">
        <v>16</v>
      </c>
      <c r="C1346" s="8">
        <v>45</v>
      </c>
      <c r="D1346" s="8" t="s">
        <v>64</v>
      </c>
      <c r="E1346" s="9">
        <v>5</v>
      </c>
    </row>
    <row r="1347" spans="1:5" x14ac:dyDescent="0.3">
      <c r="A1347" s="8">
        <v>95</v>
      </c>
      <c r="B1347" s="8">
        <v>16</v>
      </c>
      <c r="C1347" s="8" t="s">
        <v>28</v>
      </c>
      <c r="D1347" s="8" t="s">
        <v>1</v>
      </c>
      <c r="E1347" s="9">
        <f>5+5.045-0.015-0.542</f>
        <v>9.4879999999999995</v>
      </c>
    </row>
    <row r="1348" spans="1:5" x14ac:dyDescent="0.3">
      <c r="A1348" s="10">
        <v>95</v>
      </c>
      <c r="B1348" s="10">
        <v>16</v>
      </c>
      <c r="C1348" s="10" t="s">
        <v>30</v>
      </c>
      <c r="D1348" s="10" t="s">
        <v>1</v>
      </c>
      <c r="E1348" s="15">
        <f>2.625+2.385-0.098-0.097-0.065-0.29-0.05-0.272</f>
        <v>4.137999999999999</v>
      </c>
    </row>
    <row r="1349" spans="1:5" x14ac:dyDescent="0.3">
      <c r="A1349" s="10">
        <v>95</v>
      </c>
      <c r="B1349" s="10">
        <v>18</v>
      </c>
      <c r="C1349" s="10">
        <v>20</v>
      </c>
      <c r="D1349" s="10" t="s">
        <v>1</v>
      </c>
      <c r="E1349" s="15">
        <f>12.435+7.45+9.23-0.643-0.648-3.13-0.327-0.171-0.02-0.324-0.127-0.106-0.037-0.038-0.037-0.071-0.071-0.039-0.322-0.02-0.019-0.324-0.019-0.054-0.036-0.037-0.03-0.32-0.019-0.037-0.051-0.019-0.019-0.244-0.161-0.036-0.072</f>
        <v>21.487000000000005</v>
      </c>
    </row>
    <row r="1350" spans="1:5" x14ac:dyDescent="0.3">
      <c r="A1350" s="10">
        <v>95</v>
      </c>
      <c r="B1350" s="10">
        <v>18</v>
      </c>
      <c r="C1350" s="10" t="s">
        <v>26</v>
      </c>
      <c r="D1350" s="10" t="s">
        <v>64</v>
      </c>
      <c r="E1350" s="15">
        <f>4.605-0.019-0.037-0.074-4.335-0.023-0.008-0.013-0.009-0.019-0.009-0.009-0.037+0.025</f>
        <v>3.8000000000000575E-2</v>
      </c>
    </row>
    <row r="1351" spans="1:5" x14ac:dyDescent="0.3">
      <c r="A1351" s="10">
        <v>95</v>
      </c>
      <c r="B1351" s="10">
        <v>18</v>
      </c>
      <c r="C1351" s="10" t="s">
        <v>26</v>
      </c>
      <c r="D1351" s="10" t="s">
        <v>64</v>
      </c>
      <c r="E1351" s="15">
        <f>4.335-0.6-0.019-0.296-0.308-0.107-0.248-0.072-0.334-0.418</f>
        <v>1.9329999999999996</v>
      </c>
    </row>
    <row r="1352" spans="1:5" x14ac:dyDescent="0.3">
      <c r="A1352" s="8">
        <v>95</v>
      </c>
      <c r="B1352" s="8">
        <v>18</v>
      </c>
      <c r="C1352" s="8">
        <v>35</v>
      </c>
      <c r="D1352" s="8" t="s">
        <v>1</v>
      </c>
      <c r="E1352" s="9">
        <v>5</v>
      </c>
    </row>
    <row r="1353" spans="1:5" x14ac:dyDescent="0.3">
      <c r="A1353" s="10">
        <v>95</v>
      </c>
      <c r="B1353" s="10">
        <v>18</v>
      </c>
      <c r="C1353" s="10" t="s">
        <v>28</v>
      </c>
      <c r="D1353" s="10" t="s">
        <v>1</v>
      </c>
      <c r="E1353" s="15">
        <f>9.28-0.321-4.09-0.638-0.009-0.109-0.328-0.33-0.047-0.152-0.194-0.97-0.137-0.327-0.326+2.895+1.875-0.107</f>
        <v>5.964999999999999</v>
      </c>
    </row>
    <row r="1354" spans="1:5" x14ac:dyDescent="0.3">
      <c r="A1354" s="8">
        <v>95</v>
      </c>
      <c r="B1354" s="8">
        <v>18</v>
      </c>
      <c r="C1354" s="8" t="s">
        <v>130</v>
      </c>
      <c r="D1354" s="8" t="s">
        <v>1</v>
      </c>
      <c r="E1354" s="9">
        <v>5</v>
      </c>
    </row>
    <row r="1355" spans="1:5" x14ac:dyDescent="0.3">
      <c r="A1355" s="8">
        <v>95</v>
      </c>
      <c r="B1355" s="8">
        <v>20</v>
      </c>
      <c r="C1355" s="8">
        <v>20</v>
      </c>
      <c r="D1355" s="8" t="s">
        <v>1</v>
      </c>
      <c r="E1355" s="9">
        <f>5.193-0.077-0.18-0.26-0.078-0.04-0.142-0.04-0.039-0.777-0.04-0.077-0.115-0.031-0.401-0.02-0.078-0.26-0.021-0.264-0.04-0.094-0.069-0.013-0.04-0.077-0.142-0.115-0.039-0.021-0.047-0.062-0.265-0.021-0.04-0.04-0.04-0.262-0.265-0.078-0.028-0.033-0.264-0.17+0.028</f>
        <v>1.5999999999999574E-2</v>
      </c>
    </row>
    <row r="1356" spans="1:5" x14ac:dyDescent="0.3">
      <c r="A1356" s="8">
        <v>95</v>
      </c>
      <c r="B1356" s="8">
        <v>20</v>
      </c>
      <c r="C1356" s="8">
        <v>20</v>
      </c>
      <c r="D1356" s="8" t="s">
        <v>1</v>
      </c>
      <c r="E1356" s="9">
        <v>5</v>
      </c>
    </row>
    <row r="1357" spans="1:5" x14ac:dyDescent="0.3">
      <c r="A1357" s="8">
        <v>95</v>
      </c>
      <c r="B1357" s="8">
        <v>20</v>
      </c>
      <c r="C1357" s="8" t="s">
        <v>26</v>
      </c>
      <c r="D1357" s="8" t="s">
        <v>64</v>
      </c>
      <c r="E1357" s="9">
        <f>4.35+0.71-0.251-0.05-0.535-0.078</f>
        <v>4.145999999999999</v>
      </c>
    </row>
    <row r="1358" spans="1:5" x14ac:dyDescent="0.3">
      <c r="A1358" s="8">
        <v>95</v>
      </c>
      <c r="B1358" s="8">
        <v>20</v>
      </c>
      <c r="C1358" s="8">
        <v>35</v>
      </c>
      <c r="D1358" s="8" t="s">
        <v>1</v>
      </c>
      <c r="E1358" s="9">
        <v>5</v>
      </c>
    </row>
    <row r="1359" spans="1:5" x14ac:dyDescent="0.3">
      <c r="A1359" s="8">
        <v>95</v>
      </c>
      <c r="B1359" s="8">
        <v>20</v>
      </c>
      <c r="C1359" s="8">
        <v>45</v>
      </c>
      <c r="D1359" s="8" t="s">
        <v>1</v>
      </c>
      <c r="E1359" s="9">
        <v>5</v>
      </c>
    </row>
    <row r="1360" spans="1:5" x14ac:dyDescent="0.3">
      <c r="A1360" s="10">
        <v>95</v>
      </c>
      <c r="B1360" s="10">
        <v>20</v>
      </c>
      <c r="C1360" s="10" t="s">
        <v>28</v>
      </c>
      <c r="D1360" s="10" t="s">
        <v>1</v>
      </c>
      <c r="E1360" s="15">
        <f>2.215+2.525-0.285-0.04</f>
        <v>4.415</v>
      </c>
    </row>
    <row r="1361" spans="1:5" x14ac:dyDescent="0.3">
      <c r="A1361" s="10">
        <v>95</v>
      </c>
      <c r="B1361" s="10">
        <v>20</v>
      </c>
      <c r="C1361" s="10" t="s">
        <v>41</v>
      </c>
      <c r="D1361" s="10" t="s">
        <v>1</v>
      </c>
      <c r="E1361" s="15">
        <v>0.22500000000000001</v>
      </c>
    </row>
    <row r="1362" spans="1:5" x14ac:dyDescent="0.3">
      <c r="A1362" s="10">
        <v>95</v>
      </c>
      <c r="B1362" s="10">
        <v>20</v>
      </c>
      <c r="C1362" s="10" t="s">
        <v>30</v>
      </c>
      <c r="D1362" s="10" t="s">
        <v>1</v>
      </c>
      <c r="E1362" s="15">
        <f>4.46-0.058-0.055-0.195-0.115-0.321-0.078-0.078+0.61-0.166-0.18-0.115-0.038-0.954-0.115-0.115-0.04-0.156-0.153-0.632-0.161-0.323-0.153</f>
        <v>0.86899999999999888</v>
      </c>
    </row>
    <row r="1363" spans="1:5" x14ac:dyDescent="0.3">
      <c r="A1363" s="8">
        <v>95</v>
      </c>
      <c r="B1363" s="8">
        <v>22</v>
      </c>
      <c r="C1363" s="8">
        <v>20</v>
      </c>
      <c r="D1363" s="8" t="s">
        <v>1</v>
      </c>
      <c r="E1363" s="9">
        <v>5</v>
      </c>
    </row>
    <row r="1364" spans="1:5" x14ac:dyDescent="0.3">
      <c r="A1364" s="10">
        <v>95</v>
      </c>
      <c r="B1364" s="10">
        <v>22</v>
      </c>
      <c r="C1364" s="10" t="s">
        <v>28</v>
      </c>
      <c r="D1364" s="10" t="s">
        <v>1</v>
      </c>
      <c r="E1364" s="15">
        <f>0.253+0.058-0.022-0.253+0.345+4.2-0.327-0.205-0.081-0.646-0.019-0.655</f>
        <v>2.6480000000000006</v>
      </c>
    </row>
    <row r="1365" spans="1:5" x14ac:dyDescent="0.3">
      <c r="A1365" s="10">
        <v>95</v>
      </c>
      <c r="B1365" s="10">
        <v>22</v>
      </c>
      <c r="C1365" s="10" t="s">
        <v>30</v>
      </c>
      <c r="D1365" s="10" t="s">
        <v>1</v>
      </c>
      <c r="E1365" s="15">
        <f>2.35+0.296-0.177+0.143-0.103-0.122-0.063-0.185-0.292-0.046-0.588-0.082-0.9</f>
        <v>0.23099999999999909</v>
      </c>
    </row>
    <row r="1366" spans="1:5" x14ac:dyDescent="0.3">
      <c r="A1366" s="8">
        <v>95</v>
      </c>
      <c r="B1366" s="8">
        <v>22</v>
      </c>
      <c r="C1366" s="8" t="s">
        <v>30</v>
      </c>
      <c r="D1366" s="8" t="s">
        <v>1</v>
      </c>
      <c r="E1366" s="9">
        <v>5</v>
      </c>
    </row>
    <row r="1367" spans="1:5" x14ac:dyDescent="0.3">
      <c r="A1367" s="8">
        <v>95</v>
      </c>
      <c r="B1367" s="8">
        <v>24</v>
      </c>
      <c r="C1367" s="8">
        <v>20</v>
      </c>
      <c r="D1367" s="8" t="s">
        <v>1</v>
      </c>
      <c r="E1367" s="9">
        <v>5</v>
      </c>
    </row>
    <row r="1368" spans="1:5" x14ac:dyDescent="0.3">
      <c r="A1368" s="10">
        <v>95</v>
      </c>
      <c r="B1368" s="10">
        <v>24</v>
      </c>
      <c r="C1368" s="10" t="s">
        <v>26</v>
      </c>
      <c r="D1368" s="10" t="s">
        <v>64</v>
      </c>
      <c r="E1368" s="15">
        <f>7.285-0.295-0.294-0.276-0.011-0.015+1.945-0.13-0.015-1.013-0.01-0.299-0.083-0.032-0.066-0.109-0.596-0.015-1.495-0.018-0.228</f>
        <v>4.2299999999999995</v>
      </c>
    </row>
    <row r="1369" spans="1:5" x14ac:dyDescent="0.3">
      <c r="A1369" s="10">
        <v>95</v>
      </c>
      <c r="B1369" s="10">
        <v>24</v>
      </c>
      <c r="C1369" s="10">
        <v>35</v>
      </c>
      <c r="D1369" s="10" t="s">
        <v>1</v>
      </c>
      <c r="E1369" s="15">
        <f>0.043+0.014-0.043</f>
        <v>1.3999999999999999E-2</v>
      </c>
    </row>
    <row r="1370" spans="1:5" x14ac:dyDescent="0.3">
      <c r="A1370" s="8">
        <v>95</v>
      </c>
      <c r="B1370" s="8">
        <v>24</v>
      </c>
      <c r="C1370" s="8">
        <v>35</v>
      </c>
      <c r="D1370" s="8" t="s">
        <v>1</v>
      </c>
      <c r="E1370" s="9">
        <v>5</v>
      </c>
    </row>
    <row r="1371" spans="1:5" x14ac:dyDescent="0.3">
      <c r="A1371" s="10">
        <v>95</v>
      </c>
      <c r="B1371" s="10">
        <v>24</v>
      </c>
      <c r="C1371" s="10" t="s">
        <v>28</v>
      </c>
      <c r="D1371" s="10" t="s">
        <v>1</v>
      </c>
      <c r="E1371" s="15">
        <f>0.245+4.965-2.54-1.761-0.063+4.725-0.271-0.088-0.048-0.008</f>
        <v>5.1559999999999997</v>
      </c>
    </row>
    <row r="1372" spans="1:5" x14ac:dyDescent="0.3">
      <c r="A1372" s="10">
        <v>95</v>
      </c>
      <c r="B1372" s="10">
        <v>24</v>
      </c>
      <c r="C1372" s="10" t="s">
        <v>30</v>
      </c>
      <c r="D1372" s="10" t="s">
        <v>1</v>
      </c>
      <c r="E1372" s="15">
        <f>6.14-0.264-0.083-0.264-0.529-0.045-0.276-0.088-0.13+0.251-0.14+4.372-0.111-0.126-0.054-0.027-0.576-0.077-0.045-0.288-0.045-0.28-5.47-0.113-0.282-1.419-0.006+0.251+10.02-0.28+4.64+1.416+2.573+5.17-0.036-2.28-0.087-0.131-2.3-0.259-0.032-0.102</f>
        <v>18.587999999999994</v>
      </c>
    </row>
    <row r="1373" spans="1:5" x14ac:dyDescent="0.3">
      <c r="A1373" s="10">
        <v>95</v>
      </c>
      <c r="B1373" s="10">
        <v>24</v>
      </c>
      <c r="C1373" s="10" t="s">
        <v>106</v>
      </c>
      <c r="D1373" s="10" t="s">
        <v>1</v>
      </c>
      <c r="E1373" s="15">
        <f>1.565+2.815</f>
        <v>4.38</v>
      </c>
    </row>
    <row r="1374" spans="1:5" x14ac:dyDescent="0.3">
      <c r="A1374" s="8">
        <v>102</v>
      </c>
      <c r="B1374" s="8">
        <v>3</v>
      </c>
      <c r="C1374" s="8">
        <v>20</v>
      </c>
      <c r="D1374" s="8" t="s">
        <v>8</v>
      </c>
      <c r="E1374" s="9">
        <f>5.007-0.016-0.009-0.028-0.01-0.01</f>
        <v>4.9340000000000002</v>
      </c>
    </row>
    <row r="1375" spans="1:5" x14ac:dyDescent="0.3">
      <c r="A1375" s="10">
        <v>102</v>
      </c>
      <c r="B1375" s="10">
        <v>4</v>
      </c>
      <c r="C1375" s="10">
        <v>20</v>
      </c>
      <c r="D1375" s="10" t="s">
        <v>1</v>
      </c>
      <c r="E1375" s="15">
        <f>0.672+0.377+2.52+2.435-0.107+3.18-0.105-0.103-0.034-0.012-0.196-0.204-0.012-0.106-0.012-0.014-0.01-0.01-0.012-0.017-0.033-0.017-0.033-0.148-0.033-0.049-0.234-0.033-0.014-0.063-0.006-0.012</f>
        <v>7.5549999999999997</v>
      </c>
    </row>
    <row r="1376" spans="1:5" x14ac:dyDescent="0.3">
      <c r="A1376" s="8">
        <v>102</v>
      </c>
      <c r="B1376" s="8">
        <v>4</v>
      </c>
      <c r="C1376" s="8">
        <v>20</v>
      </c>
      <c r="D1376" s="8" t="s">
        <v>8</v>
      </c>
      <c r="E1376" s="9">
        <f>3.72-0.046</f>
        <v>3.6740000000000004</v>
      </c>
    </row>
    <row r="1377" spans="1:5" x14ac:dyDescent="0.3">
      <c r="A1377" s="10">
        <v>102</v>
      </c>
      <c r="B1377" s="10">
        <v>4</v>
      </c>
      <c r="C1377" s="10" t="s">
        <v>26</v>
      </c>
      <c r="D1377" s="10" t="s">
        <v>7</v>
      </c>
      <c r="E1377" s="15">
        <f>0.227-0.021-0.042-0.003-0.013</f>
        <v>0.14799999999999999</v>
      </c>
    </row>
    <row r="1378" spans="1:5" x14ac:dyDescent="0.3">
      <c r="A1378" s="10">
        <v>102</v>
      </c>
      <c r="B1378" s="10">
        <v>4</v>
      </c>
      <c r="C1378" s="10" t="s">
        <v>26</v>
      </c>
      <c r="D1378" s="10" t="s">
        <v>64</v>
      </c>
      <c r="E1378" s="15">
        <f>2.874-0.31-0.285-0.94-0.197-0.021-1.042-0.045+4.564+1.138-0.006+0.758-0.022-0.009-0.013</f>
        <v>6.4439999999999991</v>
      </c>
    </row>
    <row r="1379" spans="1:5" x14ac:dyDescent="0.3">
      <c r="A1379" s="10">
        <v>102</v>
      </c>
      <c r="B1379" s="10">
        <v>5</v>
      </c>
      <c r="C1379" s="10">
        <v>20</v>
      </c>
      <c r="D1379" s="10" t="s">
        <v>1</v>
      </c>
      <c r="E1379" s="15">
        <f>0.053-0.026-0.003</f>
        <v>2.4E-2</v>
      </c>
    </row>
    <row r="1380" spans="1:5" x14ac:dyDescent="0.3">
      <c r="A1380" s="10">
        <v>102</v>
      </c>
      <c r="B1380" s="10">
        <v>5</v>
      </c>
      <c r="C1380" s="10">
        <v>20</v>
      </c>
      <c r="D1380" s="10" t="s">
        <v>1</v>
      </c>
      <c r="E1380" s="15">
        <f>5.044-2.285-0.009-0.02-2.45+0.12-0.065-0.032-0.12</f>
        <v>0.18299999999999939</v>
      </c>
    </row>
    <row r="1381" spans="1:5" x14ac:dyDescent="0.3">
      <c r="A1381" s="10">
        <v>102</v>
      </c>
      <c r="B1381" s="10">
        <v>5</v>
      </c>
      <c r="C1381" s="10">
        <v>20</v>
      </c>
      <c r="D1381" s="10" t="s">
        <v>1</v>
      </c>
      <c r="E1381" s="15">
        <f>0.36+0.12-0.014+0.12-0.014-0.033-0.123-0.035+0.614-0.008+6.75-0.021-0.011+0.072-0.072-0.136-0.041-0.027+0.452-0.02-0.027-0.008-0.004</f>
        <v>7.8940000000000001</v>
      </c>
    </row>
    <row r="1382" spans="1:5" x14ac:dyDescent="0.3">
      <c r="A1382" s="10">
        <v>102</v>
      </c>
      <c r="B1382" s="10">
        <v>5</v>
      </c>
      <c r="C1382" s="10" t="s">
        <v>26</v>
      </c>
      <c r="D1382" s="10" t="s">
        <v>1</v>
      </c>
      <c r="E1382" s="15">
        <f>5.01-0.124-0.009-0.014-0.039-0.014+0.26-0.254-1.92-0.125+0.108-0.256-0.007-0.255-0.383-0.97-0.156-0.014-0.062-0.043-0.027-0.027-0.195-0.004-0.003-0.016</f>
        <v>0.46099999999999924</v>
      </c>
    </row>
    <row r="1383" spans="1:5" x14ac:dyDescent="0.3">
      <c r="A1383" s="10">
        <v>102</v>
      </c>
      <c r="B1383" s="10">
        <v>5</v>
      </c>
      <c r="C1383" s="10" t="s">
        <v>26</v>
      </c>
      <c r="D1383" s="10" t="s">
        <v>64</v>
      </c>
      <c r="E1383" s="15">
        <f>5.034-0.039-0.132-0.052-0.014-0.011-0.003-0.124-0.065-0.004-0.019-0.054-0.009-0.014-0.133</f>
        <v>4.3609999999999998</v>
      </c>
    </row>
    <row r="1384" spans="1:5" x14ac:dyDescent="0.3">
      <c r="A1384" s="8">
        <v>102</v>
      </c>
      <c r="B1384" s="8">
        <v>6</v>
      </c>
      <c r="C1384" s="8">
        <v>20</v>
      </c>
      <c r="D1384" s="8" t="s">
        <v>1</v>
      </c>
      <c r="E1384" s="15">
        <f>0.266+0.834-0.008-0.015-0.045-0.041-0.037-0.016-0.034-0.016-0.007-0.031-0.024+1.778-0.029-0.016-0.062-0.062-0.008-0.013-0.122-0.09-0.016-0.06-0.082-0.023-0.06-0.05-0.004-0.017-0.039</f>
        <v>1.8510000000000009</v>
      </c>
    </row>
    <row r="1385" spans="1:5" x14ac:dyDescent="0.3">
      <c r="A1385" s="10">
        <v>102</v>
      </c>
      <c r="B1385" s="10">
        <v>6</v>
      </c>
      <c r="C1385" s="10" t="s">
        <v>26</v>
      </c>
      <c r="D1385" s="10" t="s">
        <v>1</v>
      </c>
      <c r="E1385" s="15">
        <f>4.27-0.147+0.095-0.148-0.06+3.36-0.075-0.297-0.148-0.015-0.09-0.595-0.016-0.151-0.87-0.038-0.075-0.882-0.017-0.09-0.145-0.014-3.9+0.052</f>
        <v>4.0000000000003991E-3</v>
      </c>
    </row>
    <row r="1386" spans="1:5" x14ac:dyDescent="0.3">
      <c r="A1386" s="8">
        <v>102</v>
      </c>
      <c r="B1386" s="8">
        <v>6</v>
      </c>
      <c r="C1386" s="8" t="s">
        <v>26</v>
      </c>
      <c r="D1386" s="8" t="s">
        <v>64</v>
      </c>
      <c r="E1386" s="9">
        <f>1.34+5.064-0.287+4.908-3.02-0.016-0.016-0.016-0.06-0.008</f>
        <v>7.8890000000000011</v>
      </c>
    </row>
    <row r="1387" spans="1:5" x14ac:dyDescent="0.3">
      <c r="A1387" s="10">
        <v>102</v>
      </c>
      <c r="B1387" s="10">
        <v>6</v>
      </c>
      <c r="C1387" s="10">
        <v>35</v>
      </c>
      <c r="D1387" s="10" t="s">
        <v>1</v>
      </c>
      <c r="E1387" s="15">
        <f>8.3-0.005</f>
        <v>8.2949999999999999</v>
      </c>
    </row>
    <row r="1388" spans="1:5" x14ac:dyDescent="0.3">
      <c r="A1388" s="10">
        <v>102</v>
      </c>
      <c r="B1388" s="10">
        <v>6</v>
      </c>
      <c r="C1388" s="10" t="s">
        <v>28</v>
      </c>
      <c r="D1388" s="10" t="s">
        <v>1</v>
      </c>
      <c r="E1388" s="15">
        <f>5.166-0.134-0.281-0.133-0.274-0.279-0.053-0.393</f>
        <v>3.6190000000000007</v>
      </c>
    </row>
    <row r="1389" spans="1:5" x14ac:dyDescent="0.3">
      <c r="A1389" s="10">
        <v>102</v>
      </c>
      <c r="B1389" s="10">
        <v>6</v>
      </c>
      <c r="C1389" s="10" t="s">
        <v>31</v>
      </c>
      <c r="D1389" s="10" t="s">
        <v>32</v>
      </c>
      <c r="E1389" s="15">
        <f>0.426+0.067-0.088-0.024</f>
        <v>0.38100000000000001</v>
      </c>
    </row>
    <row r="1390" spans="1:5" x14ac:dyDescent="0.3">
      <c r="A1390" s="10">
        <v>101.6</v>
      </c>
      <c r="B1390" s="10">
        <v>6.5</v>
      </c>
      <c r="C1390" s="10">
        <v>45</v>
      </c>
      <c r="D1390" s="10" t="s">
        <v>1</v>
      </c>
      <c r="E1390" s="15">
        <v>0.66500000000000004</v>
      </c>
    </row>
    <row r="1391" spans="1:5" x14ac:dyDescent="0.3">
      <c r="A1391" s="10">
        <v>102</v>
      </c>
      <c r="B1391" s="10">
        <v>6.5</v>
      </c>
      <c r="C1391" s="10" t="s">
        <v>28</v>
      </c>
      <c r="D1391" s="10" t="s">
        <v>1</v>
      </c>
      <c r="E1391" s="15">
        <f>1.54-0.128-0.035-0.476-0.126-0.838+0.154-0.013-0.026-0.027</f>
        <v>2.500000000000006E-2</v>
      </c>
    </row>
    <row r="1392" spans="1:5" x14ac:dyDescent="0.3">
      <c r="A1392" s="12">
        <v>102</v>
      </c>
      <c r="B1392" s="12">
        <v>7</v>
      </c>
      <c r="C1392" s="12">
        <v>20</v>
      </c>
      <c r="D1392" s="8" t="s">
        <v>1</v>
      </c>
      <c r="E1392" s="15">
        <f>0.58-0.068+0.688-0.02-0.179-0.235-0.035</f>
        <v>0.73099999999999987</v>
      </c>
    </row>
    <row r="1393" spans="1:5" x14ac:dyDescent="0.3">
      <c r="A1393" s="10">
        <v>102</v>
      </c>
      <c r="B1393" s="10">
        <v>7</v>
      </c>
      <c r="C1393" s="10">
        <v>20</v>
      </c>
      <c r="D1393" s="10" t="s">
        <v>32</v>
      </c>
      <c r="E1393" s="15">
        <f>2.91-0.206</f>
        <v>2.7040000000000002</v>
      </c>
    </row>
    <row r="1394" spans="1:5" x14ac:dyDescent="0.3">
      <c r="A1394" s="10">
        <v>102</v>
      </c>
      <c r="B1394" s="10">
        <v>7</v>
      </c>
      <c r="C1394" s="10">
        <v>45</v>
      </c>
      <c r="D1394" s="10" t="s">
        <v>1</v>
      </c>
      <c r="E1394" s="15">
        <f>0.178+7.1+0.603-0.044-0.088-0.071-0.162-0.01-0.334-0.039</f>
        <v>7.1330000000000009</v>
      </c>
    </row>
    <row r="1395" spans="1:5" x14ac:dyDescent="0.3">
      <c r="A1395" s="10">
        <v>102</v>
      </c>
      <c r="B1395" s="10">
        <v>8</v>
      </c>
      <c r="C1395" s="10">
        <v>20</v>
      </c>
      <c r="D1395" s="10" t="s">
        <v>1</v>
      </c>
      <c r="E1395" s="15">
        <f>2.472+2.622-0.02-0.02-0.2-0.6+0.403-0.401-0.042-0.116-0.07-0.059-0.205-0.042-0.059-1.9-0.069-0.02-0.041-1.303-0.021-0.18-0.009</f>
        <v>0.12000000000000051</v>
      </c>
    </row>
    <row r="1396" spans="1:5" x14ac:dyDescent="0.3">
      <c r="A1396" s="10">
        <v>102</v>
      </c>
      <c r="B1396" s="10">
        <v>8</v>
      </c>
      <c r="C1396" s="10">
        <v>20</v>
      </c>
      <c r="D1396" s="10" t="s">
        <v>1</v>
      </c>
      <c r="E1396" s="15">
        <f>1.9-0.116+1.303-0.049-0.042-0.011-0.08-0.252+0.18-0.049-0.081-0.053-0.051-0.051-0.094-0.097-0.203-0.021-0.021+0.009-0.068-0.012-0.044-0.011-0.041-0.027+1.54-0.044-0.04-0.19-0.03-0.038-0.004-0.016-0.06-0.021-0.059-0.021-0.199-0.07-0.048-0.059-0.109-0.022-0.01-0.022-0.04</f>
        <v>2.3560000000000012</v>
      </c>
    </row>
    <row r="1397" spans="1:5" x14ac:dyDescent="0.3">
      <c r="A1397" s="10">
        <v>102</v>
      </c>
      <c r="B1397" s="10">
        <v>8</v>
      </c>
      <c r="C1397" s="10" t="s">
        <v>26</v>
      </c>
      <c r="D1397" s="10" t="s">
        <v>1</v>
      </c>
      <c r="E1397" s="15">
        <f>1.682+0.3-0.081-0.051-0.195+0.09-0.011-0.13-0.061-0.041-0.069-0.191+0.161-0.011-0.008-0.061-0.021-0.041-0.021-0.031</f>
        <v>1.2090000000000007</v>
      </c>
    </row>
    <row r="1398" spans="1:5" x14ac:dyDescent="0.3">
      <c r="A1398" s="10">
        <v>102</v>
      </c>
      <c r="B1398" s="10">
        <v>8</v>
      </c>
      <c r="C1398" s="10" t="s">
        <v>26</v>
      </c>
      <c r="D1398" s="10" t="s">
        <v>64</v>
      </c>
      <c r="E1398" s="15">
        <f>5.146-0.061-0.13-0.061-0.011-0.061-0.074-0.12-0.061-0.031-0.01-0.195-0.16-0.061-0.144-0.061-0.021-0.061-0.126-0.016-0.051-0.035-0.009-0.016-0.2</f>
        <v>3.37</v>
      </c>
    </row>
    <row r="1399" spans="1:5" x14ac:dyDescent="0.3">
      <c r="A1399" s="10">
        <v>102</v>
      </c>
      <c r="B1399" s="10">
        <v>8</v>
      </c>
      <c r="C1399" s="10">
        <v>45</v>
      </c>
      <c r="D1399" s="10" t="s">
        <v>1</v>
      </c>
      <c r="E1399" s="15">
        <f>0.155+2.835</f>
        <v>2.9899999999999998</v>
      </c>
    </row>
    <row r="1400" spans="1:5" x14ac:dyDescent="0.3">
      <c r="A1400" s="10">
        <v>102</v>
      </c>
      <c r="B1400" s="10">
        <v>8</v>
      </c>
      <c r="C1400" s="10" t="s">
        <v>28</v>
      </c>
      <c r="D1400" s="10" t="s">
        <v>1</v>
      </c>
      <c r="E1400" s="15">
        <f>5.55-0.061-0.18-0.367-0.543-0.183-0.031-0.171-0.452-0.365-0.853-0.361</f>
        <v>1.9830000000000003</v>
      </c>
    </row>
    <row r="1401" spans="1:5" x14ac:dyDescent="0.3">
      <c r="A1401" s="10">
        <v>102</v>
      </c>
      <c r="B1401" s="10">
        <v>8</v>
      </c>
      <c r="C1401" s="10" t="s">
        <v>30</v>
      </c>
      <c r="D1401" s="10" t="s">
        <v>1</v>
      </c>
      <c r="E1401" s="15">
        <v>5</v>
      </c>
    </row>
    <row r="1402" spans="1:5" x14ac:dyDescent="0.3">
      <c r="A1402" s="10">
        <v>102</v>
      </c>
      <c r="B1402" s="10">
        <v>10</v>
      </c>
      <c r="C1402" s="10">
        <v>20</v>
      </c>
      <c r="D1402" s="10" t="s">
        <v>1</v>
      </c>
      <c r="E1402" s="15">
        <f>3.36+3.61-0.232+0.182-0.051-0.031-0.102-0.048-0.183-0.466-0.236-0.038-0.149-0.026-0.02-0.019-0.029+0.012-0.019-0.169-0.233-0.026-0.013-0.004-0.1-0.052-0.149-0.468-0.014-0.083-0.046-0.042-0.013-0.228-0.113-0.036-0.005-0.022-0.11-0.231-0.027-0.026-0.051-0.014-0.026-0.045-0.232-0.039+3.046-0.026-0.098-0.114-0.007-0.007-0.029-0.042-0.011</f>
        <v>5.610000000000003</v>
      </c>
    </row>
    <row r="1403" spans="1:5" x14ac:dyDescent="0.3">
      <c r="A1403" s="10">
        <v>102</v>
      </c>
      <c r="B1403" s="10">
        <v>10</v>
      </c>
      <c r="C1403" s="10" t="s">
        <v>26</v>
      </c>
      <c r="D1403" s="10" t="s">
        <v>1</v>
      </c>
      <c r="E1403" s="15">
        <f>3.554-0.172-0.168-0.008-0.094-0.17-0.024-0.169-0.06-0.8-1.64+0.468-0.154+3.636+4.286+0.43-0.23+1.265-0.05-0.177-1.265-0.43-3.636-0.165-4.06-0.327+0.516-0.181-0.01</f>
        <v>0.16499999999999893</v>
      </c>
    </row>
    <row r="1404" spans="1:5" x14ac:dyDescent="0.3">
      <c r="A1404" s="10">
        <v>102</v>
      </c>
      <c r="B1404" s="10">
        <v>10</v>
      </c>
      <c r="C1404" s="10" t="s">
        <v>26</v>
      </c>
      <c r="D1404" s="10" t="s">
        <v>64</v>
      </c>
      <c r="E1404" s="15">
        <f>1.265+0.43+3.636+4.06+0.327+0.452+0.181-0.122+0.43-0.229-0.232-0.229-0.462-0.259-0.06-0.225-0.051-0.229-2.067+0.01-0.228-0.229-0.205-1.325-0.229-0.041-0.22-0.05-0.011-0.23-0.084-0.22-1.37-0.075-0.231-0.217-0.029-0.405+5.308-0.026-0.254-1.209-0.038-0.062-0.015-0.084-0.026-0.05-0.147-0.027-0.236-0.074-0.012-0.006</f>
        <v>4.2690000000000001</v>
      </c>
    </row>
    <row r="1405" spans="1:5" x14ac:dyDescent="0.3">
      <c r="A1405" s="10">
        <v>102</v>
      </c>
      <c r="B1405" s="10">
        <v>10</v>
      </c>
      <c r="C1405" s="10">
        <v>35</v>
      </c>
      <c r="D1405" s="10" t="s">
        <v>1</v>
      </c>
      <c r="E1405" s="15">
        <f>2.59+2.2-0.22-0.688-0.025-0.228-0.228-0.7-0.191-0.231-0.037-0.072-0.054</f>
        <v>2.116000000000001</v>
      </c>
    </row>
    <row r="1406" spans="1:5" x14ac:dyDescent="0.3">
      <c r="A1406" s="10">
        <v>102</v>
      </c>
      <c r="B1406" s="10">
        <v>10</v>
      </c>
      <c r="C1406" s="10">
        <v>45</v>
      </c>
      <c r="D1406" s="10" t="s">
        <v>1</v>
      </c>
      <c r="E1406" s="15">
        <f>2.71-0.09-0.039-0.246-0.025-0.158-0.141-0.06-0.185-0.374-0.039</f>
        <v>1.353</v>
      </c>
    </row>
    <row r="1407" spans="1:5" x14ac:dyDescent="0.3">
      <c r="A1407" s="10">
        <v>102</v>
      </c>
      <c r="B1407" s="10">
        <v>10</v>
      </c>
      <c r="C1407" s="10" t="s">
        <v>28</v>
      </c>
      <c r="D1407" s="10" t="s">
        <v>1</v>
      </c>
      <c r="E1407" s="15">
        <f>2.77+2.77+2.08+0.36-0.185-0.062-0.124-1.73-0.094-0.093-0.14-0.398</f>
        <v>5.1540000000000017</v>
      </c>
    </row>
    <row r="1408" spans="1:5" x14ac:dyDescent="0.3">
      <c r="A1408" s="10">
        <v>102</v>
      </c>
      <c r="B1408" s="10">
        <v>10</v>
      </c>
      <c r="C1408" s="10" t="s">
        <v>30</v>
      </c>
      <c r="D1408" s="10" t="s">
        <v>1</v>
      </c>
      <c r="E1408" s="15">
        <f>2.25+0.093-0.013-0.74-0.455-0.081-0.02-0.3-0.017-0.152-0.3-0.076-0.169+0.023-0.031+2.26+1.9+1.875-0.207-0.083-0.42-0.161-0.193-0.141-0.078</f>
        <v>4.7640000000000002</v>
      </c>
    </row>
    <row r="1409" spans="1:5" x14ac:dyDescent="0.3">
      <c r="A1409" s="10">
        <v>102</v>
      </c>
      <c r="B1409" s="10">
        <v>12</v>
      </c>
      <c r="C1409" s="10">
        <v>20</v>
      </c>
      <c r="D1409" s="10" t="s">
        <v>1</v>
      </c>
      <c r="E1409" s="15">
        <f>0.022+0.215+1.81+0.68+0.195-0.028-0.042-0.01-0.353-0.042-0.074-0.036-0.247-0.045-0.059-0.242-0.008-0.049-0.009-0.458-0.244-0.03-0.244-0.055-0.102-0.031+0.252-0.216-0.137-0.245</f>
        <v>0.16800000000000148</v>
      </c>
    </row>
    <row r="1410" spans="1:5" x14ac:dyDescent="0.3">
      <c r="A1410" s="10">
        <v>102</v>
      </c>
      <c r="B1410" s="10">
        <v>12</v>
      </c>
      <c r="C1410" s="10">
        <v>20</v>
      </c>
      <c r="D1410" s="10" t="s">
        <v>1</v>
      </c>
      <c r="E1410" s="15">
        <f>5.548-0.454-0.047-0.433-1.118-0.052-0.106+4.904+1.706-0.228-1.609-0.122-0.053-0.109-0.114-0.043-0.033-0.083</f>
        <v>7.5540000000000003</v>
      </c>
    </row>
    <row r="1411" spans="1:5" x14ac:dyDescent="0.3">
      <c r="A1411" s="10">
        <v>102</v>
      </c>
      <c r="B1411" s="10">
        <v>12</v>
      </c>
      <c r="C1411" s="10" t="s">
        <v>26</v>
      </c>
      <c r="D1411" s="10" t="s">
        <v>64</v>
      </c>
      <c r="E1411" s="15">
        <f>3.93-0.094-0.022+1.85-0.181-0.174-0.183-0.17+0.862-0.355-0.726-0.06-0.059-0.188-0.014-0.016-0.166-0.117-0.189-0.173-0.052-0.156-0.011-1.61-0.506-0.253-0.016+0.87-0.545-0.1-0.089-0.034-0.016+5.11-0.022-0.031-0.045-0.181-0.018-0.216-0.013-0.094-0.015-0.023-0.089-0.077-0.016-0.028-0.045-0.06-0.121-0.158</f>
        <v>5.0950000000000015</v>
      </c>
    </row>
    <row r="1412" spans="1:5" x14ac:dyDescent="0.3">
      <c r="A1412" s="8">
        <v>102</v>
      </c>
      <c r="B1412" s="8">
        <v>12</v>
      </c>
      <c r="C1412" s="8">
        <v>35</v>
      </c>
      <c r="D1412" s="8" t="s">
        <v>1</v>
      </c>
      <c r="E1412" s="9">
        <f>0.804+4.96-0.87</f>
        <v>4.8940000000000001</v>
      </c>
    </row>
    <row r="1413" spans="1:5" x14ac:dyDescent="0.3">
      <c r="A1413" s="10">
        <v>102</v>
      </c>
      <c r="B1413" s="10">
        <v>12</v>
      </c>
      <c r="C1413" s="10">
        <v>45</v>
      </c>
      <c r="D1413" s="10" t="s">
        <v>1</v>
      </c>
      <c r="E1413" s="15">
        <f>5.184-0.029-0.219-0.23-0.083-0.078-0.914+1.971-0.067</f>
        <v>5.5349999999999984</v>
      </c>
    </row>
    <row r="1414" spans="1:5" x14ac:dyDescent="0.3">
      <c r="A1414" s="10">
        <v>102</v>
      </c>
      <c r="B1414" s="10">
        <v>12</v>
      </c>
      <c r="C1414" s="10" t="s">
        <v>28</v>
      </c>
      <c r="D1414" s="10" t="s">
        <v>1</v>
      </c>
      <c r="E1414" s="15">
        <v>10</v>
      </c>
    </row>
    <row r="1415" spans="1:5" x14ac:dyDescent="0.3">
      <c r="A1415" s="8">
        <v>102</v>
      </c>
      <c r="B1415" s="8">
        <v>12</v>
      </c>
      <c r="C1415" s="8" t="s">
        <v>30</v>
      </c>
      <c r="D1415" s="8" t="s">
        <v>1</v>
      </c>
      <c r="E1415" s="9">
        <v>5</v>
      </c>
    </row>
    <row r="1416" spans="1:5" x14ac:dyDescent="0.3">
      <c r="A1416" s="10">
        <v>102</v>
      </c>
      <c r="B1416" s="10">
        <v>14</v>
      </c>
      <c r="C1416" s="10">
        <v>20</v>
      </c>
      <c r="D1416" s="10" t="s">
        <v>1</v>
      </c>
      <c r="E1416" s="15">
        <f>3.85+4.076-0.065+0.467-0.034-0.117-0.034-0.051-0.117-0.011-0.156-0.066-0.006-0.239-0.245-0.034-0.204-0.027-0.066-0.066-0.097-0.05-0.066-0.05-0.734-0.129-0.015-0.559-0.015-0.085-0.007-0.102-0.059-0.234-0.131-0.011-0.051-0.245-0.049-0.066</f>
        <v>4.099999999999997</v>
      </c>
    </row>
    <row r="1417" spans="1:5" x14ac:dyDescent="0.3">
      <c r="A1417" s="10">
        <v>102</v>
      </c>
      <c r="B1417" s="10">
        <v>14</v>
      </c>
      <c r="C1417" s="10" t="s">
        <v>26</v>
      </c>
      <c r="D1417" s="10" t="s">
        <v>1</v>
      </c>
      <c r="E1417" s="15">
        <f>1.6+2.818-0.021-0.023-0.035-0.093-0.1+0.027-0.019-0.032-0.099-0.045-0.034-0.028-0.068-0.17-0.168-0.17-0.017-0.086-0.034-0.035+5.3-0.115-0.245-0.225</f>
        <v>7.8830000000000009</v>
      </c>
    </row>
    <row r="1418" spans="1:5" x14ac:dyDescent="0.3">
      <c r="A1418" s="10">
        <v>101.6</v>
      </c>
      <c r="B1418" s="10">
        <v>14.2</v>
      </c>
      <c r="C1418" s="10" t="s">
        <v>21</v>
      </c>
      <c r="D1418" s="10" t="s">
        <v>64</v>
      </c>
      <c r="E1418" s="15">
        <f>0.217-0.014</f>
        <v>0.20299999999999999</v>
      </c>
    </row>
    <row r="1419" spans="1:5" x14ac:dyDescent="0.3">
      <c r="A1419" s="10">
        <v>102</v>
      </c>
      <c r="B1419" s="10">
        <v>14</v>
      </c>
      <c r="C1419" s="10">
        <v>35</v>
      </c>
      <c r="D1419" s="10" t="s">
        <v>1</v>
      </c>
      <c r="E1419" s="15">
        <f>3.468-0.224-0.692-0.453-0.232+0.188+1.506+0.87-0.018-0.066-0.057-0.248-0.094</f>
        <v>3.948</v>
      </c>
    </row>
    <row r="1420" spans="1:5" x14ac:dyDescent="0.3">
      <c r="A1420" s="10">
        <v>102</v>
      </c>
      <c r="B1420" s="10">
        <v>14</v>
      </c>
      <c r="C1420" s="10">
        <v>45</v>
      </c>
      <c r="D1420" s="10" t="s">
        <v>1</v>
      </c>
      <c r="E1420" s="15">
        <f>4.934-0.232-0.433-0.033-0.046-0.435</f>
        <v>3.7549999999999994</v>
      </c>
    </row>
    <row r="1421" spans="1:5" x14ac:dyDescent="0.3">
      <c r="A1421" s="10">
        <v>102</v>
      </c>
      <c r="B1421" s="10">
        <v>14</v>
      </c>
      <c r="C1421" s="10" t="s">
        <v>36</v>
      </c>
      <c r="D1421" s="10" t="s">
        <v>1</v>
      </c>
      <c r="E1421" s="15">
        <v>5.34</v>
      </c>
    </row>
    <row r="1422" spans="1:5" x14ac:dyDescent="0.3">
      <c r="A1422" s="10">
        <v>102</v>
      </c>
      <c r="B1422" s="10">
        <v>14</v>
      </c>
      <c r="C1422" s="10" t="s">
        <v>28</v>
      </c>
      <c r="D1422" s="10" t="s">
        <v>1</v>
      </c>
      <c r="E1422" s="15">
        <f>6.83+2.475+0.545-0.032-0.033-0.487-0.28-0.064-3.07-0.472</f>
        <v>5.4120000000000008</v>
      </c>
    </row>
    <row r="1423" spans="1:5" x14ac:dyDescent="0.3">
      <c r="A1423" s="10">
        <v>102</v>
      </c>
      <c r="B1423" s="10">
        <v>14</v>
      </c>
      <c r="C1423" s="10" t="s">
        <v>30</v>
      </c>
      <c r="D1423" s="10" t="s">
        <v>1</v>
      </c>
      <c r="E1423" s="15">
        <f>2.535+2.82-0.266</f>
        <v>5.0890000000000004</v>
      </c>
    </row>
    <row r="1424" spans="1:5" x14ac:dyDescent="0.3">
      <c r="A1424" s="10">
        <v>102</v>
      </c>
      <c r="B1424" s="10">
        <v>15</v>
      </c>
      <c r="C1424" s="10" t="s">
        <v>36</v>
      </c>
      <c r="D1424" s="10" t="s">
        <v>1</v>
      </c>
      <c r="E1424" s="15">
        <v>0.158</v>
      </c>
    </row>
    <row r="1425" spans="1:5" x14ac:dyDescent="0.3">
      <c r="A1425" s="10">
        <v>102</v>
      </c>
      <c r="B1425" s="10">
        <v>16</v>
      </c>
      <c r="C1425" s="10">
        <v>20</v>
      </c>
      <c r="D1425" s="10" t="s">
        <v>1</v>
      </c>
      <c r="E1425" s="15">
        <f>5.47-0.063-0.019+2.947-0.02-0.123-0.16-0.035-0.019-0.019-0.037-0.37-0.194-0.144-0.095-0.018-0.011-0.378-0.109-0.037-0.087-0.144-2.2-0.087-1.284-0.008-0.771-0.037-0.126-0.055-0.046-0.092-0.328-0.038-0.109-0.095-0.023-0.635-0.033-0.251-0.07+0.195-0.02-0.206</f>
        <v>1.6000000000002235E-2</v>
      </c>
    </row>
    <row r="1426" spans="1:5" x14ac:dyDescent="0.3">
      <c r="A1426" s="10">
        <v>102</v>
      </c>
      <c r="B1426" s="10">
        <v>16</v>
      </c>
      <c r="C1426" s="10">
        <v>20</v>
      </c>
      <c r="D1426" s="10" t="s">
        <v>1</v>
      </c>
      <c r="E1426" s="15">
        <f>4.688+0.762-0.021-0.035-0.057-0.223-0.027-0.019-0.077-0.046-0.07-0.044-0.392-0.208-0.048-0.116-0.037-0.024-0.099-0.224-0.07-0.07-0.032-0.019-0.222-0.103</f>
        <v>3.166999999999998</v>
      </c>
    </row>
    <row r="1427" spans="1:5" x14ac:dyDescent="0.3">
      <c r="A1427" s="10">
        <v>102</v>
      </c>
      <c r="B1427" s="10">
        <v>16</v>
      </c>
      <c r="C1427" s="10" t="s">
        <v>26</v>
      </c>
      <c r="D1427" s="10" t="s">
        <v>1</v>
      </c>
      <c r="E1427" s="15">
        <f>0.158+19.51+0.212-0.108-0.066-1.474-0.073-1.472-0.017-0.062-0.095-0.109-0.063-0.971-0.073-1.179-0.228-0.04-0.037-0.113-1.218-0.017-0.109-1.943-0.243-0.109-0.015-0.02-0.238-0.009-0.012-0.036-0.056-0.488-1.459-0.126-0.088-0.247-0.233-0.009-0.031-0.247-0.119-0.091-2.182-0.156-0.012-0.054-0.075-0.1</f>
        <v>3.9580000000000042</v>
      </c>
    </row>
    <row r="1428" spans="1:5" x14ac:dyDescent="0.3">
      <c r="A1428" s="10">
        <v>102</v>
      </c>
      <c r="B1428" s="10">
        <v>16</v>
      </c>
      <c r="C1428" s="10" t="s">
        <v>26</v>
      </c>
      <c r="D1428" s="10" t="s">
        <v>64</v>
      </c>
      <c r="E1428" s="15">
        <f>10.094-0.206-0.207-0.036-0.125-0.903-1.083</f>
        <v>7.5339999999999989</v>
      </c>
    </row>
    <row r="1429" spans="1:5" x14ac:dyDescent="0.3">
      <c r="A1429" s="10">
        <v>102</v>
      </c>
      <c r="B1429" s="10">
        <v>16</v>
      </c>
      <c r="C1429" s="10">
        <v>35</v>
      </c>
      <c r="D1429" s="10" t="s">
        <v>1</v>
      </c>
      <c r="E1429" s="15">
        <f>0.328+7.255-0.666-0.02-0.037-0.055-0.211-0.325-1.941-0.072-0.253-1.948-0.315-0.324-0.336-0.32+1.584-0.327-0.39-0.037+0.47-0.194-0.066-0.037-1.7-0.073+0.338</f>
        <v>0.32800000000000062</v>
      </c>
    </row>
    <row r="1430" spans="1:5" x14ac:dyDescent="0.3">
      <c r="A1430" s="10">
        <v>102</v>
      </c>
      <c r="B1430" s="10">
        <v>16</v>
      </c>
      <c r="C1430" s="10">
        <v>35</v>
      </c>
      <c r="D1430" s="10" t="s">
        <v>1</v>
      </c>
      <c r="E1430" s="15">
        <f>1.7-0.203-0.326-0.321-0.073-0.019-0.019-0.053+5.046</f>
        <v>5.7320000000000002</v>
      </c>
    </row>
    <row r="1431" spans="1:5" x14ac:dyDescent="0.3">
      <c r="A1431" s="10">
        <v>102</v>
      </c>
      <c r="B1431" s="10">
        <v>16</v>
      </c>
      <c r="C1431" s="10">
        <v>45</v>
      </c>
      <c r="D1431" s="10" t="s">
        <v>1</v>
      </c>
      <c r="E1431" s="15">
        <f>4.526-0.225-0.442+0.84-1.998-1.649-0.441-0.07+0.24+4.916+1.924-0.8-2.222-0.227-3.15-0.432-0.03+5.172</f>
        <v>5.9319999999999995</v>
      </c>
    </row>
    <row r="1432" spans="1:5" x14ac:dyDescent="0.3">
      <c r="A1432" s="10">
        <v>102</v>
      </c>
      <c r="B1432" s="10">
        <v>16</v>
      </c>
      <c r="C1432" s="10" t="s">
        <v>36</v>
      </c>
      <c r="D1432" s="10" t="s">
        <v>1</v>
      </c>
      <c r="E1432" s="15">
        <v>4.88</v>
      </c>
    </row>
    <row r="1433" spans="1:5" x14ac:dyDescent="0.3">
      <c r="A1433" s="10">
        <v>102</v>
      </c>
      <c r="B1433" s="10">
        <v>16</v>
      </c>
      <c r="C1433" s="10" t="s">
        <v>28</v>
      </c>
      <c r="D1433" s="10" t="s">
        <v>1</v>
      </c>
      <c r="E1433" s="15">
        <f>6.115-0.031-0.317-0.031</f>
        <v>5.7360000000000007</v>
      </c>
    </row>
    <row r="1434" spans="1:5" x14ac:dyDescent="0.3">
      <c r="A1434" s="10">
        <v>102</v>
      </c>
      <c r="B1434" s="10">
        <v>16</v>
      </c>
      <c r="C1434" s="10" t="s">
        <v>30</v>
      </c>
      <c r="D1434" s="10" t="s">
        <v>1</v>
      </c>
      <c r="E1434" s="15">
        <f>4.91+0.6+0.62-0.632-0.104-0.31-0.104-0.059</f>
        <v>4.9210000000000003</v>
      </c>
    </row>
    <row r="1435" spans="1:5" x14ac:dyDescent="0.3">
      <c r="A1435" s="8">
        <v>102</v>
      </c>
      <c r="B1435" s="8">
        <v>18</v>
      </c>
      <c r="C1435" s="8">
        <v>20</v>
      </c>
      <c r="D1435" s="8" t="s">
        <v>1</v>
      </c>
      <c r="E1435" s="9">
        <v>5</v>
      </c>
    </row>
    <row r="1436" spans="1:5" x14ac:dyDescent="0.3">
      <c r="A1436" s="8">
        <v>102</v>
      </c>
      <c r="B1436" s="8">
        <v>18</v>
      </c>
      <c r="C1436" s="8" t="s">
        <v>26</v>
      </c>
      <c r="D1436" s="8" t="s">
        <v>64</v>
      </c>
      <c r="E1436" s="9">
        <f>3.01+1.54-0.006-0.614+0.87-0.013-0.006-0.014-0.116-0.04-0.021-0.116-0.006-0.291-0.674-0.021-0.027</f>
        <v>3.4549999999999996</v>
      </c>
    </row>
    <row r="1437" spans="1:5" x14ac:dyDescent="0.3">
      <c r="A1437" s="10">
        <v>102</v>
      </c>
      <c r="B1437" s="10">
        <v>18</v>
      </c>
      <c r="C1437" s="10" t="s">
        <v>36</v>
      </c>
      <c r="D1437" s="10" t="s">
        <v>1</v>
      </c>
      <c r="E1437" s="15">
        <v>5.07</v>
      </c>
    </row>
    <row r="1438" spans="1:5" x14ac:dyDescent="0.3">
      <c r="A1438" s="10">
        <v>102</v>
      </c>
      <c r="B1438" s="10">
        <v>18</v>
      </c>
      <c r="C1438" s="10" t="s">
        <v>28</v>
      </c>
      <c r="D1438" s="10" t="s">
        <v>1</v>
      </c>
      <c r="E1438" s="15">
        <f>1.935+2.575+5.76-0.677-7.393-0.04-0.342-0.683+2.7+7.545-0.315-0.295-0.059-0.32</f>
        <v>10.391</v>
      </c>
    </row>
    <row r="1439" spans="1:5" x14ac:dyDescent="0.3">
      <c r="A1439" s="10">
        <v>102</v>
      </c>
      <c r="B1439" s="10">
        <v>18</v>
      </c>
      <c r="C1439" s="10" t="s">
        <v>30</v>
      </c>
      <c r="D1439" s="10" t="s">
        <v>1</v>
      </c>
      <c r="E1439" s="15">
        <f>2.655-0.316-0.629+2.625-0.126</f>
        <v>4.2089999999999996</v>
      </c>
    </row>
    <row r="1440" spans="1:5" x14ac:dyDescent="0.3">
      <c r="A1440" s="10">
        <v>102</v>
      </c>
      <c r="B1440" s="10">
        <v>20</v>
      </c>
      <c r="C1440" s="10">
        <v>20</v>
      </c>
      <c r="D1440" s="10" t="s">
        <v>1</v>
      </c>
      <c r="E1440" s="15">
        <f>3.012-0.125-0.031-0.084-0.043-0.044-0.31-0.026-0.125-0.023-0.321-0.303-0.28-0.023-0.044-0.308-0.035-0.088-0.031-0.044-0.044-0.14-0.044-0.064-0.306-0.019-0.17+0.073</f>
        <v>9.9999999999995925E-3</v>
      </c>
    </row>
    <row r="1441" spans="1:5" x14ac:dyDescent="0.3">
      <c r="A1441" s="8">
        <v>102</v>
      </c>
      <c r="B1441" s="8">
        <v>20</v>
      </c>
      <c r="C1441" s="8">
        <v>20</v>
      </c>
      <c r="D1441" s="8" t="s">
        <v>1</v>
      </c>
      <c r="E1441" s="9">
        <v>5</v>
      </c>
    </row>
    <row r="1442" spans="1:5" x14ac:dyDescent="0.3">
      <c r="A1442" s="10">
        <v>101.6</v>
      </c>
      <c r="B1442" s="10">
        <v>20</v>
      </c>
      <c r="C1442" s="10" t="s">
        <v>21</v>
      </c>
      <c r="D1442" s="10" t="s">
        <v>64</v>
      </c>
      <c r="E1442" s="15">
        <f>0.979+0.157</f>
        <v>1.1359999999999999</v>
      </c>
    </row>
    <row r="1443" spans="1:5" x14ac:dyDescent="0.3">
      <c r="A1443" s="8">
        <v>102</v>
      </c>
      <c r="B1443" s="8">
        <v>20</v>
      </c>
      <c r="C1443" s="8">
        <v>35</v>
      </c>
      <c r="D1443" s="8" t="s">
        <v>1</v>
      </c>
      <c r="E1443" s="9">
        <v>5</v>
      </c>
    </row>
    <row r="1444" spans="1:5" x14ac:dyDescent="0.3">
      <c r="A1444" s="10">
        <v>102</v>
      </c>
      <c r="B1444" s="10">
        <v>20</v>
      </c>
      <c r="C1444" s="10">
        <v>45</v>
      </c>
      <c r="D1444" s="10" t="s">
        <v>1</v>
      </c>
      <c r="E1444" s="15">
        <f>5.455-0.744+0.108-0.098-0.043-0.192-0.044-0.742-0.099-0.024-0.043-0.185-0.052-0.249-0.071-0.063-0.304-0.37-0.051-0.376-0.043-0.372-0.044</f>
        <v>1.3539999999999992</v>
      </c>
    </row>
    <row r="1445" spans="1:5" x14ac:dyDescent="0.3">
      <c r="A1445" s="10">
        <v>102</v>
      </c>
      <c r="B1445" s="10">
        <v>20</v>
      </c>
      <c r="C1445" s="10" t="s">
        <v>144</v>
      </c>
      <c r="D1445" s="10" t="s">
        <v>1</v>
      </c>
      <c r="E1445" s="15">
        <f>5.914-0.816</f>
        <v>5.0979999999999999</v>
      </c>
    </row>
    <row r="1446" spans="1:5" x14ac:dyDescent="0.3">
      <c r="A1446" s="10">
        <v>102</v>
      </c>
      <c r="B1446" s="10">
        <v>20</v>
      </c>
      <c r="C1446" s="10" t="s">
        <v>28</v>
      </c>
      <c r="D1446" s="10" t="s">
        <v>1</v>
      </c>
      <c r="E1446" s="15">
        <f>2.1+8.455-0.125-0.044</f>
        <v>10.385999999999999</v>
      </c>
    </row>
    <row r="1447" spans="1:5" x14ac:dyDescent="0.3">
      <c r="A1447" s="10">
        <v>102</v>
      </c>
      <c r="B1447" s="10">
        <v>20</v>
      </c>
      <c r="C1447" s="10" t="s">
        <v>30</v>
      </c>
      <c r="D1447" s="10" t="s">
        <v>1</v>
      </c>
      <c r="E1447" s="15">
        <f>2.485+2.82-0.368-0.02-0.366</f>
        <v>4.5510000000000002</v>
      </c>
    </row>
    <row r="1448" spans="1:5" x14ac:dyDescent="0.3">
      <c r="A1448" s="10">
        <v>102</v>
      </c>
      <c r="B1448" s="10">
        <v>22</v>
      </c>
      <c r="C1448" s="10" t="s">
        <v>26</v>
      </c>
      <c r="D1448" s="10" t="s">
        <v>64</v>
      </c>
      <c r="E1448" s="15">
        <f>7.22-0.366-0.233-0.267-0.121-0.093-0.135-0.375-0.007-0.089-0.09-0.375-0.055-0.183-0.185-1.498-0.078-0.021</f>
        <v>3.0490000000000017</v>
      </c>
    </row>
    <row r="1449" spans="1:5" x14ac:dyDescent="0.3">
      <c r="A1449" s="10">
        <v>102</v>
      </c>
      <c r="B1449" s="10">
        <v>22</v>
      </c>
      <c r="C1449" s="10">
        <v>45</v>
      </c>
      <c r="D1449" s="10" t="s">
        <v>1</v>
      </c>
      <c r="E1449" s="15">
        <f>5.405+4.706-0.09-0.342-0.342-0.339-0.555-0.025-0.047-0.295-0.404-0.099-0.35-0.587-0.047-0.645-0.341-0.068-0.811</f>
        <v>4.7239999999999993</v>
      </c>
    </row>
    <row r="1450" spans="1:5" x14ac:dyDescent="0.3">
      <c r="A1450" s="10">
        <v>102</v>
      </c>
      <c r="B1450" s="10">
        <v>22</v>
      </c>
      <c r="C1450" s="10" t="s">
        <v>36</v>
      </c>
      <c r="D1450" s="10" t="s">
        <v>1</v>
      </c>
      <c r="E1450" s="15">
        <v>5.22</v>
      </c>
    </row>
    <row r="1451" spans="1:5" x14ac:dyDescent="0.3">
      <c r="A1451" s="10">
        <v>102</v>
      </c>
      <c r="B1451" s="10">
        <v>22</v>
      </c>
      <c r="C1451" s="10" t="s">
        <v>30</v>
      </c>
      <c r="D1451" s="10" t="s">
        <v>1</v>
      </c>
      <c r="E1451" s="15">
        <f>2.86-0.155+2.42</f>
        <v>5.125</v>
      </c>
    </row>
    <row r="1452" spans="1:5" x14ac:dyDescent="0.3">
      <c r="A1452" s="10">
        <v>102</v>
      </c>
      <c r="B1452" s="10">
        <v>24</v>
      </c>
      <c r="C1452" s="10">
        <v>45</v>
      </c>
      <c r="D1452" s="10" t="s">
        <v>1</v>
      </c>
      <c r="E1452" s="15">
        <f>4.71+0.023-0.47-0.059-0.811-0.143-0.197-0.057-0.04-0.082</f>
        <v>2.8740000000000001</v>
      </c>
    </row>
    <row r="1453" spans="1:5" x14ac:dyDescent="0.3">
      <c r="A1453" s="10">
        <v>102</v>
      </c>
      <c r="B1453" s="10">
        <v>24</v>
      </c>
      <c r="C1453" s="10" t="s">
        <v>30</v>
      </c>
      <c r="D1453" s="10" t="s">
        <v>1</v>
      </c>
      <c r="E1453" s="15">
        <f>1.9+1.525-0.796-0.798+1.905</f>
        <v>3.7359999999999998</v>
      </c>
    </row>
    <row r="1454" spans="1:5" x14ac:dyDescent="0.3">
      <c r="A1454" s="8">
        <v>102</v>
      </c>
      <c r="B1454" s="8">
        <v>25</v>
      </c>
      <c r="C1454" s="8">
        <v>20</v>
      </c>
      <c r="D1454" s="8" t="s">
        <v>1</v>
      </c>
      <c r="E1454" s="9">
        <v>5</v>
      </c>
    </row>
    <row r="1455" spans="1:5" x14ac:dyDescent="0.3">
      <c r="A1455" s="10">
        <v>102</v>
      </c>
      <c r="B1455" s="10">
        <v>25</v>
      </c>
      <c r="C1455" s="10" t="s">
        <v>26</v>
      </c>
      <c r="D1455" s="10" t="s">
        <v>1</v>
      </c>
      <c r="E1455" s="15">
        <f>5.215-0.146-5.025+0.202-0.051-0.147-0.036</f>
        <v>1.1999999999999629E-2</v>
      </c>
    </row>
    <row r="1456" spans="1:5" x14ac:dyDescent="0.3">
      <c r="A1456" s="10">
        <v>102</v>
      </c>
      <c r="B1456" s="10">
        <v>25</v>
      </c>
      <c r="C1456" s="10" t="s">
        <v>26</v>
      </c>
      <c r="D1456" s="10" t="s">
        <v>1</v>
      </c>
      <c r="E1456" s="15">
        <f>5.025-1.159-0.056-0.708-0.374-0.074-0.703-0.072-1.495-0.051-0.076-0.017-0.027-0.051-0.078</f>
        <v>8.4000000000000338E-2</v>
      </c>
    </row>
    <row r="1457" spans="1:5" x14ac:dyDescent="0.3">
      <c r="A1457" s="8">
        <v>102</v>
      </c>
      <c r="B1457" s="8">
        <v>25</v>
      </c>
      <c r="C1457" s="8" t="s">
        <v>26</v>
      </c>
      <c r="D1457" s="8" t="s">
        <v>64</v>
      </c>
      <c r="E1457" s="9">
        <v>7</v>
      </c>
    </row>
    <row r="1458" spans="1:5" x14ac:dyDescent="0.3">
      <c r="A1458" s="8">
        <v>102</v>
      </c>
      <c r="B1458" s="8">
        <v>25</v>
      </c>
      <c r="C1458" s="8">
        <v>35</v>
      </c>
      <c r="D1458" s="8" t="s">
        <v>1</v>
      </c>
      <c r="E1458" s="9">
        <v>5</v>
      </c>
    </row>
    <row r="1459" spans="1:5" x14ac:dyDescent="0.3">
      <c r="A1459" s="10">
        <v>102</v>
      </c>
      <c r="B1459" s="10">
        <v>25</v>
      </c>
      <c r="C1459" s="10" t="s">
        <v>28</v>
      </c>
      <c r="D1459" s="10" t="s">
        <v>1</v>
      </c>
      <c r="E1459" s="15">
        <f>5.555-0.434-0.434-0.054-2.194-0.053-0.325+0.37+0.76+2.655-0.147+2.67-0.084-0.094-0.417-0.104</f>
        <v>7.669999999999999</v>
      </c>
    </row>
    <row r="1460" spans="1:5" x14ac:dyDescent="0.3">
      <c r="A1460" s="8">
        <v>102</v>
      </c>
      <c r="B1460" s="8">
        <v>26</v>
      </c>
      <c r="C1460" s="8" t="s">
        <v>36</v>
      </c>
      <c r="D1460" s="8" t="s">
        <v>1</v>
      </c>
      <c r="E1460" s="9">
        <v>5</v>
      </c>
    </row>
    <row r="1461" spans="1:5" x14ac:dyDescent="0.3">
      <c r="A1461" s="10">
        <v>102</v>
      </c>
      <c r="B1461" s="10">
        <v>26</v>
      </c>
      <c r="C1461" s="10" t="s">
        <v>95</v>
      </c>
      <c r="D1461" s="10" t="s">
        <v>1</v>
      </c>
      <c r="E1461" s="15">
        <f>3.2-1.38+1.55</f>
        <v>3.37</v>
      </c>
    </row>
    <row r="1462" spans="1:5" x14ac:dyDescent="0.3">
      <c r="A1462" s="10">
        <v>102</v>
      </c>
      <c r="B1462" s="10">
        <v>26</v>
      </c>
      <c r="C1462" s="10" t="s">
        <v>30</v>
      </c>
      <c r="D1462" s="10" t="s">
        <v>1</v>
      </c>
      <c r="E1462" s="15">
        <f>2.675+2.695</f>
        <v>5.3699999999999992</v>
      </c>
    </row>
    <row r="1463" spans="1:5" x14ac:dyDescent="0.3">
      <c r="A1463" s="8">
        <v>102</v>
      </c>
      <c r="B1463" s="8">
        <v>28</v>
      </c>
      <c r="C1463" s="8">
        <v>20</v>
      </c>
      <c r="D1463" s="8" t="s">
        <v>1</v>
      </c>
      <c r="E1463" s="9">
        <f>5.547-0.623-0.616-0.308-0.31-0.08-0.311-0.617-0.31-0.228-0.618-0.212-0.053-0.615-0.039-0.31-0.305+0.014+7.073-0.21-0.36-0.054-0.377-1.115-0.09-0.104-0.272-4.494+0.003</f>
        <v>6.0000000000001137E-3</v>
      </c>
    </row>
    <row r="1464" spans="1:5" x14ac:dyDescent="0.3">
      <c r="A1464" s="8">
        <v>102</v>
      </c>
      <c r="B1464" s="8">
        <v>28</v>
      </c>
      <c r="C1464" s="8">
        <v>20</v>
      </c>
      <c r="D1464" s="8" t="s">
        <v>1</v>
      </c>
      <c r="E1464" s="9">
        <v>5</v>
      </c>
    </row>
    <row r="1465" spans="1:5" x14ac:dyDescent="0.3">
      <c r="A1465" s="10">
        <v>102</v>
      </c>
      <c r="B1465" s="10">
        <v>28</v>
      </c>
      <c r="C1465" s="10" t="s">
        <v>26</v>
      </c>
      <c r="D1465" s="10" t="s">
        <v>1</v>
      </c>
      <c r="E1465" s="15">
        <f>3.085-0.105+1.6-0.031-0.157-0.095-0.209-0.179-0.062-0.13-0.106-0.106-0.106-0.054-0.064-0.121-0.26-0.038-2.975+0.125</f>
        <v>1.2000000000002231E-2</v>
      </c>
    </row>
    <row r="1466" spans="1:5" x14ac:dyDescent="0.3">
      <c r="A1466" s="8">
        <v>102</v>
      </c>
      <c r="B1466" s="8">
        <v>28</v>
      </c>
      <c r="C1466" s="8">
        <v>35</v>
      </c>
      <c r="D1466" s="8" t="s">
        <v>1</v>
      </c>
      <c r="E1466" s="9">
        <v>5</v>
      </c>
    </row>
    <row r="1467" spans="1:5" x14ac:dyDescent="0.3">
      <c r="A1467" s="10">
        <v>102</v>
      </c>
      <c r="B1467" s="10">
        <v>28</v>
      </c>
      <c r="C1467" s="10">
        <v>45</v>
      </c>
      <c r="D1467" s="10" t="s">
        <v>64</v>
      </c>
      <c r="E1467" s="15">
        <f>4.585-0.053-0.44-0.036-0.158-1.298-0.837-0.836-0.055</f>
        <v>0.87200000000000011</v>
      </c>
    </row>
    <row r="1468" spans="1:5" x14ac:dyDescent="0.3">
      <c r="A1468" s="8">
        <v>102</v>
      </c>
      <c r="B1468" s="8">
        <v>28</v>
      </c>
      <c r="C1468" s="8">
        <v>45</v>
      </c>
      <c r="D1468" s="8" t="s">
        <v>1</v>
      </c>
      <c r="E1468" s="9">
        <v>5</v>
      </c>
    </row>
    <row r="1469" spans="1:5" x14ac:dyDescent="0.3">
      <c r="A1469" s="10">
        <v>102</v>
      </c>
      <c r="B1469" s="10">
        <v>28</v>
      </c>
      <c r="C1469" s="10" t="s">
        <v>28</v>
      </c>
      <c r="D1469" s="10" t="s">
        <v>1</v>
      </c>
      <c r="E1469" s="15">
        <f>5.336-2.21-0.455-0.44-0.454-0.45-0.035-0.106-0.455-0.284</f>
        <v>0.44700000000000034</v>
      </c>
    </row>
    <row r="1470" spans="1:5" x14ac:dyDescent="0.3">
      <c r="A1470" s="10">
        <v>102</v>
      </c>
      <c r="B1470" s="10">
        <v>28</v>
      </c>
      <c r="C1470" s="10" t="s">
        <v>28</v>
      </c>
      <c r="D1470" s="10" t="s">
        <v>1</v>
      </c>
      <c r="E1470" s="15">
        <f>2.615+2.605-0.449-0.033</f>
        <v>4.7380000000000004</v>
      </c>
    </row>
    <row r="1471" spans="1:5" x14ac:dyDescent="0.3">
      <c r="A1471" s="10">
        <v>102</v>
      </c>
      <c r="B1471" s="10">
        <v>28</v>
      </c>
      <c r="C1471" s="10" t="s">
        <v>30</v>
      </c>
      <c r="D1471" s="10" t="s">
        <v>1</v>
      </c>
      <c r="E1471" s="15">
        <f>7.558-0.404-0.376-4.025-1.64-0.162-0.243+7.42</f>
        <v>8.1280000000000001</v>
      </c>
    </row>
    <row r="1472" spans="1:5" x14ac:dyDescent="0.3">
      <c r="A1472" s="10">
        <v>102</v>
      </c>
      <c r="B1472" s="10">
        <v>30</v>
      </c>
      <c r="C1472" s="10" t="s">
        <v>30</v>
      </c>
      <c r="D1472" s="10" t="s">
        <v>1</v>
      </c>
      <c r="E1472" s="15">
        <v>5</v>
      </c>
    </row>
    <row r="1473" spans="1:5" x14ac:dyDescent="0.3">
      <c r="A1473" s="10">
        <v>104</v>
      </c>
      <c r="B1473" s="10">
        <v>11</v>
      </c>
      <c r="C1473" s="10" t="s">
        <v>28</v>
      </c>
      <c r="D1473" s="10" t="s">
        <v>1</v>
      </c>
      <c r="E1473" s="15">
        <f>3.71+0.17+0.127-0.128-0.82-0.212-0.028-0.054-0.208-0.162-0.124-0.407-0.395-0.054-0.079</f>
        <v>1.3359999999999994</v>
      </c>
    </row>
    <row r="1474" spans="1:5" x14ac:dyDescent="0.3">
      <c r="A1474" s="10">
        <v>104</v>
      </c>
      <c r="B1474" s="10">
        <v>18</v>
      </c>
      <c r="C1474" s="10" t="s">
        <v>28</v>
      </c>
      <c r="D1474" s="10" t="s">
        <v>1</v>
      </c>
      <c r="E1474" s="15">
        <f>3.83+1.21-0.099</f>
        <v>4.9409999999999998</v>
      </c>
    </row>
    <row r="1475" spans="1:5" x14ac:dyDescent="0.3">
      <c r="A1475" s="10">
        <v>104</v>
      </c>
      <c r="B1475" s="10">
        <v>22</v>
      </c>
      <c r="C1475" s="10" t="s">
        <v>30</v>
      </c>
      <c r="D1475" s="10" t="s">
        <v>1</v>
      </c>
      <c r="E1475" s="15">
        <f>3.08-0.399+2.695-0.401-0.398</f>
        <v>4.577</v>
      </c>
    </row>
    <row r="1476" spans="1:5" x14ac:dyDescent="0.3">
      <c r="A1476" s="10">
        <v>108</v>
      </c>
      <c r="B1476" s="10">
        <v>4</v>
      </c>
      <c r="C1476" s="10">
        <v>10</v>
      </c>
      <c r="D1476" s="10" t="s">
        <v>1</v>
      </c>
      <c r="E1476" s="15">
        <f>0.11-0.034</f>
        <v>7.5999999999999998E-2</v>
      </c>
    </row>
    <row r="1477" spans="1:5" x14ac:dyDescent="0.3">
      <c r="A1477" s="10">
        <v>108</v>
      </c>
      <c r="B1477" s="10">
        <v>4</v>
      </c>
      <c r="C1477" s="10">
        <v>20</v>
      </c>
      <c r="D1477" s="10" t="s">
        <v>1</v>
      </c>
      <c r="E1477" s="15">
        <f>0.91+0.224-0.017+0.016-0.119-0.029-0.006-0.111-0.023-0.346-0.009-0.044-0.112-0.007-0.076-0.022-0.076-0.033-0.055-0.006-0.012-0.006-0.012+5.05-0.022-0.022-0.023-0.019-0.017-0.12-0.012-0.035-0.006-0.012-0.116-0.017-0.227-0.466-0.236-2.472-0.12-0.023-0.023-0.032-0.012-0.105-0.066+0.215-0.025-0.056-0.012-0.002-0.118-0.009-0.022-0.055-0.21-0.66+0.35-0.007-0.024-0.06</f>
        <v>0.18099999999999924</v>
      </c>
    </row>
    <row r="1478" spans="1:5" x14ac:dyDescent="0.3">
      <c r="A1478" s="10">
        <v>108</v>
      </c>
      <c r="B1478" s="10">
        <v>4</v>
      </c>
      <c r="C1478" s="10">
        <v>20</v>
      </c>
      <c r="D1478" s="10" t="s">
        <v>1</v>
      </c>
      <c r="E1478" s="15">
        <f>0.095+0.21+0.66+0.007+0.756-0.034+0.019-0.052-0.008-0.023-0.007+0.096-0.007-0.113-0.012-0.025-0.007-0.004-0.104+5.012-0.017-0.026-0.034-0.054-0.009-0.005-0.023-0.004-0.11-0.051-0.016-0.017-0.118-0.045-0.004-0.012-0.012-0.012+0.163-0.113-0.04-0.023-0.222-0.013-0.109-0.014-0.037-0.016-0.034-0.008-0.01-0.331-0.003-0.004-0.012-0.013-0.007-0.32-0.009-0.023-0.023-0.034-0.012-0.023-0.005-0.004-0.023-0.051-0.006-0.089-0.005-0.004-0.112-0.023-0.023-0.045-0.034-0.002-0.034</f>
        <v>4.1400000000000041</v>
      </c>
    </row>
    <row r="1479" spans="1:5" x14ac:dyDescent="0.3">
      <c r="A1479" s="10">
        <v>108</v>
      </c>
      <c r="B1479" s="10">
        <v>4</v>
      </c>
      <c r="C1479" s="10" t="s">
        <v>26</v>
      </c>
      <c r="D1479" s="10" t="s">
        <v>64</v>
      </c>
      <c r="E1479" s="15">
        <f>6.869-0.017-0.116+0.852-0.109-0.044-0.028-0.022-0.014-0.006-0.094-0.008-0.008-0.003-0.033-0.003+0.364-0.022+0.157-0.046-0.024-0.02-0.03-0.03-0.007-0.036-0.024-1.6-0.013-0.007-0.036-0.013-0.053-0.119-0.061-0.003-0.033-0.013-0.025-0.009-0.036-0.121-0.013-0.013-0.085-0.008-0.033-0.014-0.007-0.018-0.006-0.013-0.024-0.048-0.007-0.127-0.016-0.06-0.018-0.024-0.043-0.017-0.014-0.048-0.024-0.025-0.047-0.018-0.008-0.024-0.008-0.007-0.018-0.008</f>
        <v>4.5130000000000008</v>
      </c>
    </row>
    <row r="1480" spans="1:5" x14ac:dyDescent="0.3">
      <c r="A1480" s="10">
        <v>108</v>
      </c>
      <c r="B1480" s="10">
        <v>4</v>
      </c>
      <c r="C1480" s="10">
        <v>35</v>
      </c>
      <c r="D1480" s="10" t="s">
        <v>1</v>
      </c>
      <c r="E1480" s="15">
        <v>9</v>
      </c>
    </row>
    <row r="1481" spans="1:5" x14ac:dyDescent="0.3">
      <c r="A1481" s="10">
        <v>108</v>
      </c>
      <c r="B1481" s="10">
        <v>4.5</v>
      </c>
      <c r="C1481" s="10">
        <v>20</v>
      </c>
      <c r="D1481" s="10" t="s">
        <v>1</v>
      </c>
      <c r="E1481" s="15">
        <f>0.108-0.013-0.06</f>
        <v>3.5000000000000003E-2</v>
      </c>
    </row>
    <row r="1482" spans="1:5" x14ac:dyDescent="0.3">
      <c r="A1482" s="8">
        <v>108</v>
      </c>
      <c r="B1482" s="8">
        <v>4.5</v>
      </c>
      <c r="C1482" s="8">
        <v>20</v>
      </c>
      <c r="D1482" s="8" t="s">
        <v>1</v>
      </c>
      <c r="E1482" s="9">
        <f>0.516-0.007-0.005-0.061</f>
        <v>0.443</v>
      </c>
    </row>
    <row r="1483" spans="1:5" x14ac:dyDescent="0.3">
      <c r="A1483" s="10">
        <v>108</v>
      </c>
      <c r="B1483" s="10">
        <v>4.5</v>
      </c>
      <c r="C1483" s="10" t="s">
        <v>12</v>
      </c>
      <c r="D1483" s="10" t="s">
        <v>32</v>
      </c>
      <c r="E1483" s="15">
        <f>1.21-0.222</f>
        <v>0.98799999999999999</v>
      </c>
    </row>
    <row r="1484" spans="1:5" x14ac:dyDescent="0.3">
      <c r="A1484" s="10">
        <v>108</v>
      </c>
      <c r="B1484" s="10">
        <v>4.5</v>
      </c>
      <c r="C1484" s="10" t="s">
        <v>26</v>
      </c>
      <c r="D1484" s="10" t="s">
        <v>1</v>
      </c>
      <c r="E1484" s="15">
        <f>0.805-0.025-0.049-0.025-0.031-0.013-0.037-0.01-0.008-0.019-0.055+1.53+0.722-0.007-0.013</f>
        <v>2.7649999999999997</v>
      </c>
    </row>
    <row r="1485" spans="1:5" x14ac:dyDescent="0.3">
      <c r="A1485" s="10">
        <v>108</v>
      </c>
      <c r="B1485" s="10">
        <v>5</v>
      </c>
      <c r="C1485" s="10">
        <v>20</v>
      </c>
      <c r="D1485" s="10" t="s">
        <v>1</v>
      </c>
      <c r="E1485" s="15">
        <f>0.11-0.008-0.034-0.015+1.305-0.004+0.456-0.282-0.343-0.042-0.028+0.128-0.042-0.02-0.043-0.005-0.029-0.015-0.015-0.015-0.084-0.012-0.015-0.056-0.011-0.023-0.005-0.035-0.029-0.014-0.015+0.118-0.043-0.02-0.137-0.063-0.031-0.004-0.07-0.027-0.002-0.004-0.029</f>
        <v>0.44800000000000018</v>
      </c>
    </row>
    <row r="1486" spans="1:5" x14ac:dyDescent="0.3">
      <c r="A1486" s="12">
        <v>108</v>
      </c>
      <c r="B1486" s="12">
        <v>5</v>
      </c>
      <c r="C1486" s="12">
        <v>20</v>
      </c>
      <c r="D1486" s="8" t="s">
        <v>1</v>
      </c>
      <c r="E1486" s="15">
        <v>0.36</v>
      </c>
    </row>
    <row r="1487" spans="1:5" x14ac:dyDescent="0.3">
      <c r="A1487" s="12">
        <v>108</v>
      </c>
      <c r="B1487" s="12">
        <v>5</v>
      </c>
      <c r="C1487" s="12" t="s">
        <v>39</v>
      </c>
      <c r="D1487" s="8" t="s">
        <v>1</v>
      </c>
      <c r="E1487" s="15">
        <v>0.254</v>
      </c>
    </row>
    <row r="1488" spans="1:5" x14ac:dyDescent="0.3">
      <c r="A1488" s="10">
        <v>108</v>
      </c>
      <c r="B1488" s="10">
        <v>5</v>
      </c>
      <c r="C1488" s="10" t="s">
        <v>12</v>
      </c>
      <c r="D1488" s="10" t="s">
        <v>32</v>
      </c>
      <c r="E1488" s="15">
        <f>2.038-0.123+1.938</f>
        <v>3.8529999999999998</v>
      </c>
    </row>
    <row r="1489" spans="1:5" x14ac:dyDescent="0.3">
      <c r="A1489" s="10">
        <v>108</v>
      </c>
      <c r="B1489" s="10">
        <v>5</v>
      </c>
      <c r="C1489" s="10" t="s">
        <v>26</v>
      </c>
      <c r="D1489" s="10" t="s">
        <v>1</v>
      </c>
      <c r="E1489" s="15">
        <f>0.14+0.12-0.029-0.029-0.007-0.008-0.004-0.015-0.011+0.036-0.005-0.106-0.018+1-0.029+0.108-0.026-0.017-0.085-0.057-0.019-0.061-0.026-0.008-0.01-0.122-0.015-0.029-0.015-0.022-0.022-0.019-0.017-0.011-0.043-0.025-0.041-0.087-0.025-0.043-0.007-0.015-0.007-0.014-0.058-0.016-0.109-0.018+0.2-0.029-0.021-0.015-0.071-0.015-0.033-0.013-0.009-0.005-0.015</f>
        <v>2.8000000000000067E-2</v>
      </c>
    </row>
    <row r="1490" spans="1:5" x14ac:dyDescent="0.3">
      <c r="A1490" s="10">
        <v>108</v>
      </c>
      <c r="B1490" s="10">
        <v>5</v>
      </c>
      <c r="C1490" s="10" t="s">
        <v>26</v>
      </c>
      <c r="D1490" s="10" t="s">
        <v>1</v>
      </c>
      <c r="E1490" s="15">
        <f>2.835+1.539</f>
        <v>4.3739999999999997</v>
      </c>
    </row>
    <row r="1491" spans="1:5" x14ac:dyDescent="0.3">
      <c r="A1491" s="10">
        <v>108</v>
      </c>
      <c r="B1491" s="10">
        <v>5</v>
      </c>
      <c r="C1491" s="10" t="s">
        <v>26</v>
      </c>
      <c r="D1491" s="10" t="s">
        <v>84</v>
      </c>
      <c r="E1491" s="15">
        <f>4.076-0.014-0.049-0.004-0.027-0.027-0.145-0.048-0.033-0.014-0.041-0.032-0.027-0.073-0.008-0.009-0.009-0.054-0.146-0.003-0.381-0.041-0.031-0.29-0.101-0.014-0.014-0.576-0.054-0.005-0.041-0.282-0.04-0.054+0.04-0.023-1.42+0.238-0.052-0.04</f>
        <v>0.13199999999999998</v>
      </c>
    </row>
    <row r="1492" spans="1:5" x14ac:dyDescent="0.3">
      <c r="A1492" s="10">
        <v>108</v>
      </c>
      <c r="B1492" s="10">
        <v>5</v>
      </c>
      <c r="C1492" s="10" t="s">
        <v>26</v>
      </c>
      <c r="D1492" s="10" t="s">
        <v>84</v>
      </c>
      <c r="E1492" s="15">
        <f>1.42+0.052-0.052-1.14+0.04-0.021-0.015-0.006</f>
        <v>0.27799999999999997</v>
      </c>
    </row>
    <row r="1493" spans="1:5" x14ac:dyDescent="0.3">
      <c r="A1493" s="10">
        <v>108</v>
      </c>
      <c r="B1493" s="10">
        <v>5</v>
      </c>
      <c r="C1493" s="10">
        <v>45</v>
      </c>
      <c r="D1493" s="10" t="s">
        <v>110</v>
      </c>
      <c r="E1493" s="15">
        <v>0.28799999999999998</v>
      </c>
    </row>
    <row r="1494" spans="1:5" x14ac:dyDescent="0.3">
      <c r="A1494" s="10">
        <v>108</v>
      </c>
      <c r="B1494" s="10">
        <v>5</v>
      </c>
      <c r="C1494" s="10">
        <v>45</v>
      </c>
      <c r="D1494" s="10" t="s">
        <v>1</v>
      </c>
      <c r="E1494" s="15">
        <f>0.55+0.147-0.428+0.36+0.22-0.167-0.09-0.015</f>
        <v>0.57699999999999996</v>
      </c>
    </row>
    <row r="1495" spans="1:5" x14ac:dyDescent="0.3">
      <c r="A1495" s="10">
        <v>108</v>
      </c>
      <c r="B1495" s="10">
        <v>5.5</v>
      </c>
      <c r="C1495" s="10">
        <v>20</v>
      </c>
      <c r="D1495" s="10" t="s">
        <v>1</v>
      </c>
      <c r="E1495" s="15">
        <f>2.19-0.276-0.016-0.046-0.57-0.021-0.046</f>
        <v>1.2150000000000001</v>
      </c>
    </row>
    <row r="1496" spans="1:5" x14ac:dyDescent="0.3">
      <c r="A1496" s="12">
        <v>108</v>
      </c>
      <c r="B1496" s="12">
        <v>5.5</v>
      </c>
      <c r="C1496" s="12">
        <v>20</v>
      </c>
      <c r="D1496" s="8" t="s">
        <v>1</v>
      </c>
      <c r="E1496" s="15">
        <v>0.29199999999999998</v>
      </c>
    </row>
    <row r="1497" spans="1:5" x14ac:dyDescent="0.3">
      <c r="A1497" s="10">
        <v>108</v>
      </c>
      <c r="B1497" s="10">
        <v>5.5</v>
      </c>
      <c r="C1497" s="10" t="s">
        <v>26</v>
      </c>
      <c r="D1497" s="10" t="s">
        <v>1</v>
      </c>
      <c r="E1497" s="15">
        <f>0.52+1.836-0.022-0.046-0.105-0.046-0.044-0.091+2.02-0.029-0.009-0.278-0.147-0.046</f>
        <v>3.5130000000000008</v>
      </c>
    </row>
    <row r="1498" spans="1:5" x14ac:dyDescent="0.3">
      <c r="A1498" s="10">
        <v>108</v>
      </c>
      <c r="B1498" s="10">
        <v>6</v>
      </c>
      <c r="C1498" s="10">
        <v>10</v>
      </c>
      <c r="D1498" s="10" t="s">
        <v>1</v>
      </c>
      <c r="E1498" s="15">
        <f>5.075-2.035-0.256-0.048-0.094-0.032-0.051-0.038-0.261-0.037-0.091-0.048-0.022-0.389-0.063-0.005-0.01-0.02-0.01-0.262-0.017-0.061-0.063-0.011-0.017-0.026-0.261-0.063-0.016-0.067-0.045-0.643+0.2-0.088-0.007</f>
        <v>0.11800000000000024</v>
      </c>
    </row>
    <row r="1499" spans="1:5" x14ac:dyDescent="0.3">
      <c r="A1499" s="10">
        <v>108</v>
      </c>
      <c r="B1499" s="10">
        <v>6</v>
      </c>
      <c r="C1499" s="10">
        <v>10</v>
      </c>
      <c r="D1499" s="10" t="s">
        <v>1</v>
      </c>
      <c r="E1499" s="15">
        <f>0.643+0.088-0.088+0.007</f>
        <v>0.65</v>
      </c>
    </row>
    <row r="1500" spans="1:5" x14ac:dyDescent="0.3">
      <c r="A1500" s="10">
        <v>108</v>
      </c>
      <c r="B1500" s="10">
        <v>6</v>
      </c>
      <c r="C1500" s="10">
        <v>20</v>
      </c>
      <c r="D1500" s="10" t="s">
        <v>1</v>
      </c>
      <c r="E1500" s="15">
        <f>0.648-0.138-0.173+0.123-0.017-0.033-0.033-0.041+0.85-0.047-0.049-0.051-0.155-0.017-0.018-0.017-0.049+0.42-0.011-0.013-0.104-0.052-0.053-0.033-0.018-0.021-0.234-0.007-0.319-0.086-0.17</f>
        <v>8.199999999999999E-2</v>
      </c>
    </row>
    <row r="1501" spans="1:5" x14ac:dyDescent="0.3">
      <c r="A1501" s="10">
        <v>108</v>
      </c>
      <c r="B1501" s="10">
        <v>6</v>
      </c>
      <c r="C1501" s="10">
        <v>20</v>
      </c>
      <c r="D1501" s="10" t="s">
        <v>1</v>
      </c>
      <c r="E1501" s="15">
        <f>0.135+0.234+0.007+0.23-0.006+0.319+0.044-0.009+0.046-0.006+2.362-0.349+1.75-0.017-0.012-0.033-0.025-0.02-0.006-0.027-0.014-0.007-0.017-0.027-0.019-0.049+0.17-0.026-0.035-0.109-0.327-0.018-0.042-0.005-0.006-0.013-0.045-0.025-0.044-0.013-0.12-0.053-0.051-0.033-0.05-0.011-0.01-0.589-0.015-0.009-0.02-0.027-0.58-0.099-0.007-0.024-0.005-0.008-0.007-0.012-0.05-0.007-0.004</f>
        <v>2.154999999999998</v>
      </c>
    </row>
    <row r="1502" spans="1:5" x14ac:dyDescent="0.3">
      <c r="A1502" s="10">
        <v>108</v>
      </c>
      <c r="B1502" s="10">
        <v>6</v>
      </c>
      <c r="C1502" s="10" t="s">
        <v>12</v>
      </c>
      <c r="D1502" s="10" t="s">
        <v>32</v>
      </c>
      <c r="E1502" s="15">
        <f>1.087+0.152</f>
        <v>1.2389999999999999</v>
      </c>
    </row>
    <row r="1503" spans="1:5" x14ac:dyDescent="0.3">
      <c r="A1503" s="10">
        <v>108</v>
      </c>
      <c r="B1503" s="10">
        <v>6</v>
      </c>
      <c r="C1503" s="10" t="s">
        <v>26</v>
      </c>
      <c r="D1503" s="10" t="s">
        <v>1</v>
      </c>
      <c r="E1503" s="15">
        <f>5.12+0.13-0.033-0.017+0.202-0.017-0.048-0.049-0.009-0.031-0.017-0.018-0.009-0.049-0.166+0.001-0.017-0.003-0.033-0.325-0.015-0.096-0.015-0.035-0.163-0.02-0.083-0.011-0.162-0.017-0.033-0.08-0.162-0.492-0.033-0.007-0.06-0.043-0.033-0.033-0.164-0.017-0.025-0.01-0.018-0.049-0.097-0.016-0.049-0.035-0.009-0.032-0.049-0.033-0.053-0.012-0.033-0.015-0.049-0.012-0.026-0.112-0.035-0.064-0.159-0.161-0.005-0.033-0.041-0.048-0.149-0.068-0.012-0.017-0.015-0.009-0.019-0.024+2.425-0.033-0.02-0.033-0.004-0.033-0.006-0.014-0.017+3.272-0.017-0.063-0.006</f>
        <v>6.695999999999998</v>
      </c>
    </row>
    <row r="1504" spans="1:5" x14ac:dyDescent="0.3">
      <c r="A1504" s="10">
        <v>108</v>
      </c>
      <c r="B1504" s="10">
        <v>6</v>
      </c>
      <c r="C1504" s="10">
        <v>35</v>
      </c>
      <c r="D1504" s="10" t="s">
        <v>1</v>
      </c>
      <c r="E1504" s="15">
        <f>3.7+1.16</f>
        <v>4.8600000000000003</v>
      </c>
    </row>
    <row r="1505" spans="1:5" x14ac:dyDescent="0.3">
      <c r="A1505" s="10">
        <v>108</v>
      </c>
      <c r="B1505" s="10">
        <v>6</v>
      </c>
      <c r="C1505" s="10">
        <v>45</v>
      </c>
      <c r="D1505" s="10" t="s">
        <v>1</v>
      </c>
      <c r="E1505" s="15">
        <f>4.945-1.615-0.029-2.23-0.027-0.085+0.091-0.27-0.138-0.278-0.017-0.017-0.102+0.805-0.805-0.14+0.036</f>
        <v>0.1240000000000003</v>
      </c>
    </row>
    <row r="1506" spans="1:5" x14ac:dyDescent="0.3">
      <c r="A1506" s="10">
        <v>108</v>
      </c>
      <c r="B1506" s="10">
        <v>6</v>
      </c>
      <c r="C1506" s="10">
        <v>45</v>
      </c>
      <c r="D1506" s="10" t="s">
        <v>1</v>
      </c>
      <c r="E1506" s="15">
        <f>0.805+0.14-0.009-0.045-0.071-0.028+0.12-0.018+2.04-0.017+0.446</f>
        <v>3.3630000000000004</v>
      </c>
    </row>
    <row r="1507" spans="1:5" x14ac:dyDescent="0.3">
      <c r="A1507" s="10">
        <v>108</v>
      </c>
      <c r="B1507" s="10">
        <v>6</v>
      </c>
      <c r="C1507" s="10" t="s">
        <v>37</v>
      </c>
      <c r="D1507" s="10" t="s">
        <v>1</v>
      </c>
      <c r="E1507" s="15">
        <f>5.09-0.408-0.033-0.02-0.013-0.017-0.017-0.272-0.046</f>
        <v>4.2639999999999985</v>
      </c>
    </row>
    <row r="1508" spans="1:5" x14ac:dyDescent="0.3">
      <c r="A1508" s="10">
        <v>108</v>
      </c>
      <c r="B1508" s="10">
        <v>6</v>
      </c>
      <c r="C1508" s="10" t="s">
        <v>28</v>
      </c>
      <c r="D1508" s="10" t="s">
        <v>1</v>
      </c>
      <c r="E1508" s="15">
        <f>5.305-0.135-0.049-1.11</f>
        <v>4.0109999999999992</v>
      </c>
    </row>
    <row r="1509" spans="1:5" x14ac:dyDescent="0.3">
      <c r="A1509" s="8">
        <v>108</v>
      </c>
      <c r="B1509" s="8">
        <v>6</v>
      </c>
      <c r="C1509" s="8" t="s">
        <v>29</v>
      </c>
      <c r="D1509" s="8" t="s">
        <v>3</v>
      </c>
      <c r="E1509" s="9">
        <f>5.69-2.331-1.316-0.133-0.006-0.004-0.005-0.009-0.834+5.56-1.79-0.49-0.24-0.85-0.12-0.077-2.96+0.036-0.045-0.014+3.085-0.009-0.656-0.033-0.528-0.017-0.033-0.04-0.069-0.017-0.017-0.025-0.072-0.008-0.004-0.017-0.017-0.049-0.014-0.028-0.011</f>
        <v>1.4830000000000001</v>
      </c>
    </row>
    <row r="1510" spans="1:5" x14ac:dyDescent="0.3">
      <c r="A1510" s="10">
        <v>108</v>
      </c>
      <c r="B1510" s="10">
        <v>7</v>
      </c>
      <c r="C1510" s="10">
        <v>20</v>
      </c>
      <c r="D1510" s="10" t="s">
        <v>1</v>
      </c>
      <c r="E1510" s="15">
        <f>0.046+0.041-0.007-0.019-0.008-0.047+0.012-0.013</f>
        <v>4.9999999999999854E-3</v>
      </c>
    </row>
    <row r="1511" spans="1:5" x14ac:dyDescent="0.3">
      <c r="A1511" s="10">
        <v>108</v>
      </c>
      <c r="B1511" s="10">
        <v>7</v>
      </c>
      <c r="C1511" s="10" t="s">
        <v>26</v>
      </c>
      <c r="D1511" s="10" t="s">
        <v>1</v>
      </c>
      <c r="E1511" s="15">
        <f>2.02-0.175-0.057-0.058-0.02-0.032-0.058-0.082-0.009-0.029-0.033-0.02-0.058-0.02-0.058-0.039-0.011-0.058-0.542-0.058-0.057-0.014-0.029-0.041-0.058-0.02-0.046-0.064-0.058-0.013-0.015-0.166</f>
        <v>2.1999999999999881E-2</v>
      </c>
    </row>
    <row r="1512" spans="1:5" x14ac:dyDescent="0.3">
      <c r="A1512" s="10">
        <v>108</v>
      </c>
      <c r="B1512" s="10">
        <v>7</v>
      </c>
      <c r="C1512" s="10">
        <v>45</v>
      </c>
      <c r="D1512" s="10" t="s">
        <v>1</v>
      </c>
      <c r="E1512" s="15">
        <f>0.549+4.4-0.012+0.124-0.012-0.167-0.02</f>
        <v>4.8620000000000019</v>
      </c>
    </row>
    <row r="1513" spans="1:5" x14ac:dyDescent="0.3">
      <c r="A1513" s="10">
        <v>108</v>
      </c>
      <c r="B1513" s="10">
        <v>8</v>
      </c>
      <c r="C1513" s="10">
        <v>20</v>
      </c>
      <c r="D1513" s="10" t="s">
        <v>1</v>
      </c>
      <c r="E1513" s="15">
        <f>5.002+0.6-0.03-0.043-0.022-0.091-0.027-0.064-0.126-0.052-0.095-0.106-0.023-0.004-0.012-0.084-0.073-0.064-0.031-0.012-0.007-0.012-0.137-0.013-0.053-0.022-0.252-0.043-0.032-0.022-0.018-0.043-0.085-0.008-0.033</f>
        <v>3.8630000000000018</v>
      </c>
    </row>
    <row r="1514" spans="1:5" x14ac:dyDescent="0.3">
      <c r="A1514" s="10">
        <v>108</v>
      </c>
      <c r="B1514" s="10">
        <v>8</v>
      </c>
      <c r="C1514" s="10">
        <v>20</v>
      </c>
      <c r="D1514" s="10" t="s">
        <v>110</v>
      </c>
      <c r="E1514" s="15">
        <v>0.55000000000000004</v>
      </c>
    </row>
    <row r="1515" spans="1:5" x14ac:dyDescent="0.3">
      <c r="A1515" s="10">
        <v>108</v>
      </c>
      <c r="B1515" s="10">
        <v>8</v>
      </c>
      <c r="C1515" s="10">
        <v>20</v>
      </c>
      <c r="D1515" s="10" t="s">
        <v>32</v>
      </c>
      <c r="E1515" s="15">
        <f>4.32-0.17+0.059-0.012-0.023-0.034-0.025</f>
        <v>4.1150000000000011</v>
      </c>
    </row>
    <row r="1516" spans="1:5" x14ac:dyDescent="0.3">
      <c r="A1516" s="10">
        <v>108</v>
      </c>
      <c r="B1516" s="10">
        <v>8</v>
      </c>
      <c r="C1516" s="10" t="s">
        <v>26</v>
      </c>
      <c r="D1516" s="10" t="s">
        <v>1</v>
      </c>
      <c r="E1516" s="15">
        <f>1.164-0.126-0.033-0.012-0.053+0.18-0.61-0.004-0.218-0.085-0.02-0.012-0.078+6.152-0.022-0.063-0.064-0.012-0.017-0.013-0.022-0.043-0.075-0.126-0.012-0.112-0.007-0.022-0.014-0.043-0.014-0.057-0.028-0.046-0.005-0.022-0.023-0.012-0.084-0.029-0.034-0.02-0.043-0.018-0.022-0.009-0.295-0.032-0.809-0.023-0.21-0.013-0.022-0.195-0.014-0.006+3.828-0.022-0.033-0.385-0.021-0.203-0.016-0.065+3.152-0.403+0.596-0.034</f>
        <v>9.8869999999999987</v>
      </c>
    </row>
    <row r="1517" spans="1:5" x14ac:dyDescent="0.3">
      <c r="A1517" s="10">
        <v>108</v>
      </c>
      <c r="B1517" s="10">
        <v>8</v>
      </c>
      <c r="C1517" s="10" t="s">
        <v>26</v>
      </c>
      <c r="D1517" s="10" t="s">
        <v>64</v>
      </c>
      <c r="E1517" s="15">
        <v>0.186</v>
      </c>
    </row>
    <row r="1518" spans="1:5" x14ac:dyDescent="0.3">
      <c r="A1518" s="10">
        <v>108</v>
      </c>
      <c r="B1518" s="10">
        <v>8</v>
      </c>
      <c r="C1518" s="10" t="s">
        <v>26</v>
      </c>
      <c r="D1518" s="10" t="s">
        <v>110</v>
      </c>
      <c r="E1518" s="15">
        <v>0.192</v>
      </c>
    </row>
    <row r="1519" spans="1:5" x14ac:dyDescent="0.3">
      <c r="A1519" s="8">
        <v>108</v>
      </c>
      <c r="B1519" s="8">
        <v>8</v>
      </c>
      <c r="C1519" s="8">
        <v>45</v>
      </c>
      <c r="D1519" s="8" t="s">
        <v>1</v>
      </c>
      <c r="E1519" s="9">
        <v>2.0699999999999998</v>
      </c>
    </row>
    <row r="1520" spans="1:5" x14ac:dyDescent="0.3">
      <c r="A1520" s="8">
        <v>108</v>
      </c>
      <c r="B1520" s="8">
        <v>8</v>
      </c>
      <c r="C1520" s="8" t="s">
        <v>30</v>
      </c>
      <c r="D1520" s="8" t="s">
        <v>1</v>
      </c>
      <c r="E1520" s="9">
        <v>5</v>
      </c>
    </row>
    <row r="1521" spans="1:5" x14ac:dyDescent="0.3">
      <c r="A1521" s="8">
        <v>108</v>
      </c>
      <c r="B1521" s="8">
        <v>8</v>
      </c>
      <c r="C1521" s="8" t="s">
        <v>35</v>
      </c>
      <c r="D1521" s="8" t="s">
        <v>32</v>
      </c>
      <c r="E1521" s="9">
        <f>5.201-0.428-0.126</f>
        <v>4.6469999999999994</v>
      </c>
    </row>
    <row r="1522" spans="1:5" x14ac:dyDescent="0.3">
      <c r="A1522" s="10">
        <v>108</v>
      </c>
      <c r="B1522" s="10">
        <v>9</v>
      </c>
      <c r="C1522" s="10">
        <v>20</v>
      </c>
      <c r="D1522" s="10" t="s">
        <v>1</v>
      </c>
      <c r="E1522" s="15">
        <f>0.188-0.035-0.015-0.006-0.01+0.005-0.017-0.01-0.031-0.013-0.024-0.04+0.013</f>
        <v>5.0000000000000062E-3</v>
      </c>
    </row>
    <row r="1523" spans="1:5" x14ac:dyDescent="0.3">
      <c r="A1523" s="10">
        <v>108</v>
      </c>
      <c r="B1523" s="10">
        <v>9</v>
      </c>
      <c r="C1523" s="10" t="s">
        <v>39</v>
      </c>
      <c r="D1523" s="10" t="s">
        <v>1</v>
      </c>
      <c r="E1523" s="15">
        <f>0.188-0.098</f>
        <v>0.09</v>
      </c>
    </row>
    <row r="1524" spans="1:5" x14ac:dyDescent="0.3">
      <c r="A1524" s="10">
        <v>108</v>
      </c>
      <c r="B1524" s="10">
        <v>9</v>
      </c>
      <c r="C1524" s="10" t="s">
        <v>26</v>
      </c>
      <c r="D1524" s="10" t="s">
        <v>64</v>
      </c>
      <c r="E1524" s="15">
        <f>2.988-0.224-0.218+1.158-0.202-0.207-0.029-0.069-0.895-0.024-0.215-0.227-0.147-0.024-0.052-0.076-0.479-0.013-0.024</f>
        <v>1.0209999999999999</v>
      </c>
    </row>
    <row r="1525" spans="1:5" x14ac:dyDescent="0.3">
      <c r="A1525" s="10">
        <v>108</v>
      </c>
      <c r="B1525" s="10">
        <v>10</v>
      </c>
      <c r="C1525" s="10">
        <v>20</v>
      </c>
      <c r="D1525" s="10" t="s">
        <v>1</v>
      </c>
      <c r="E1525" s="15">
        <f>0.433+2.27+3.04+0.22-0.069-0.228-0.014-0.146-0.123+1.946-0.074-0.008-0.04-0.079-0.013+0.019-0.02-0.053-0.018-0.236-0.075-0.105-0.007-0.004-0.025-0.236-0.064</f>
        <v>6.2910000000000013</v>
      </c>
    </row>
    <row r="1526" spans="1:5" x14ac:dyDescent="0.3">
      <c r="A1526" s="10">
        <v>108</v>
      </c>
      <c r="B1526" s="10">
        <v>10</v>
      </c>
      <c r="C1526" s="10">
        <v>20</v>
      </c>
      <c r="D1526" s="10" t="s">
        <v>1</v>
      </c>
      <c r="E1526" s="15">
        <f>4.48-0.034-0.034-0.08-0.05-0.056-0.012-0.016</f>
        <v>4.1980000000000013</v>
      </c>
    </row>
    <row r="1527" spans="1:5" x14ac:dyDescent="0.3">
      <c r="A1527" s="10">
        <v>108</v>
      </c>
      <c r="B1527" s="10">
        <v>10</v>
      </c>
      <c r="C1527" s="10" t="s">
        <v>26</v>
      </c>
      <c r="D1527" s="10" t="s">
        <v>1</v>
      </c>
      <c r="E1527" s="15">
        <f>5.71+1.43-0.224-0.078-0.053-0.006-0.675-0.061-0.037-0.053-0.066-0.04-0.052-1.005-0.049-0.194-0.099-0.087-0.222-0.104-0.04-0.155-0.228-0.196+0.24-0.027-0.027-0.021+0.545-0.11-0.193-0.13-0.058-0.042-0.392-1.06-0.015-0.015-0.025-0.224-0.04-0.004-0.022-0.151-0.027-0.088+1.21-0.053+0.19-0.053-0.053+0.052-0.077-0.05-0.053-0.026-0.162-0.027-0.043-0.068-0.085-0.085-0.078-0.028-0.018-0.009+0.483-0.015-0.013-0.239-0.027-0.027-0.017-0.066-0.029-0.082-0.293-0.082-0.155-0.016-0.164-0.066-0.083-0.029-0.032+3.739-0.029-0.036-0.013</f>
        <v>4.7229999999999999</v>
      </c>
    </row>
    <row r="1528" spans="1:5" x14ac:dyDescent="0.3">
      <c r="A1528" s="10">
        <v>108</v>
      </c>
      <c r="B1528" s="10">
        <v>10</v>
      </c>
      <c r="C1528" s="10" t="s">
        <v>21</v>
      </c>
      <c r="D1528" s="10" t="s">
        <v>64</v>
      </c>
      <c r="E1528" s="15">
        <v>0.15</v>
      </c>
    </row>
    <row r="1529" spans="1:5" x14ac:dyDescent="0.3">
      <c r="A1529" s="10">
        <v>108</v>
      </c>
      <c r="B1529" s="10">
        <v>10</v>
      </c>
      <c r="C1529" s="10" t="s">
        <v>21</v>
      </c>
      <c r="D1529" s="10" t="s">
        <v>64</v>
      </c>
      <c r="E1529" s="15">
        <f>0.089-0.007</f>
        <v>8.199999999999999E-2</v>
      </c>
    </row>
    <row r="1530" spans="1:5" x14ac:dyDescent="0.3">
      <c r="A1530" s="10">
        <v>108</v>
      </c>
      <c r="B1530" s="10">
        <v>10</v>
      </c>
      <c r="C1530" s="10">
        <v>35</v>
      </c>
      <c r="D1530" s="10" t="s">
        <v>1</v>
      </c>
      <c r="E1530" s="15">
        <f>1.86+0.91-1.16-0.242-0.026-0.96</f>
        <v>0.38200000000000012</v>
      </c>
    </row>
    <row r="1531" spans="1:5" x14ac:dyDescent="0.3">
      <c r="A1531" s="10">
        <v>108</v>
      </c>
      <c r="B1531" s="10">
        <v>10</v>
      </c>
      <c r="C1531" s="10">
        <v>35</v>
      </c>
      <c r="D1531" s="10" t="s">
        <v>1</v>
      </c>
      <c r="E1531" s="15">
        <f>5.078-0.047-1.031</f>
        <v>4.0000000000000009</v>
      </c>
    </row>
    <row r="1532" spans="1:5" x14ac:dyDescent="0.3">
      <c r="A1532" s="10">
        <v>108</v>
      </c>
      <c r="B1532" s="10">
        <v>10</v>
      </c>
      <c r="C1532" s="10">
        <v>45</v>
      </c>
      <c r="D1532" s="10" t="s">
        <v>1</v>
      </c>
      <c r="E1532" s="15">
        <f>5.146-0.032-0.025-0.022-0.033-0.039-0.102-0.128-0.029-0.042-1.784-0.057</f>
        <v>2.8529999999999993</v>
      </c>
    </row>
    <row r="1533" spans="1:5" x14ac:dyDescent="0.3">
      <c r="A1533" s="10">
        <v>108</v>
      </c>
      <c r="B1533" s="10">
        <v>10</v>
      </c>
      <c r="C1533" s="10" t="s">
        <v>28</v>
      </c>
      <c r="D1533" s="10" t="s">
        <v>1</v>
      </c>
      <c r="E1533" s="15">
        <f>5.105+0.151+1.425-0.81-0.495-1.312-0.026-0.014-0.076-0.09-0.022-0.226-0.056-0.204-0.056-0.42-0.151-0.32-0.166</f>
        <v>2.2370000000000005</v>
      </c>
    </row>
    <row r="1534" spans="1:5" x14ac:dyDescent="0.3">
      <c r="A1534" s="10">
        <v>108</v>
      </c>
      <c r="B1534" s="10">
        <v>10</v>
      </c>
      <c r="C1534" s="10" t="s">
        <v>30</v>
      </c>
      <c r="D1534" s="10" t="s">
        <v>1</v>
      </c>
      <c r="E1534" s="15">
        <f>4.767-0.171-0.17-0.343-1.362-0.172-0.169-0.853-0.341-0.172-0.027-0.506-0.061-0.172-0.172-0.026+0.12</f>
        <v>0.17</v>
      </c>
    </row>
    <row r="1535" spans="1:5" x14ac:dyDescent="0.3">
      <c r="A1535" s="10">
        <v>108</v>
      </c>
      <c r="B1535" s="10">
        <v>10</v>
      </c>
      <c r="C1535" s="10" t="s">
        <v>30</v>
      </c>
      <c r="D1535" s="10" t="s">
        <v>1</v>
      </c>
      <c r="E1535" s="15">
        <f>4.93+0.41-0.101-0.114</f>
        <v>5.125</v>
      </c>
    </row>
    <row r="1536" spans="1:5" x14ac:dyDescent="0.3">
      <c r="A1536" s="10">
        <v>108</v>
      </c>
      <c r="B1536" s="10">
        <v>10</v>
      </c>
      <c r="C1536" s="10" t="s">
        <v>29</v>
      </c>
      <c r="D1536" s="10" t="s">
        <v>3</v>
      </c>
      <c r="E1536" s="15">
        <f>2.117+0.033-0.027</f>
        <v>2.1229999999999998</v>
      </c>
    </row>
    <row r="1537" spans="1:5" x14ac:dyDescent="0.3">
      <c r="A1537" s="10">
        <v>108</v>
      </c>
      <c r="B1537" s="10">
        <v>12</v>
      </c>
      <c r="C1537" s="10">
        <v>20</v>
      </c>
      <c r="D1537" s="10" t="s">
        <v>1</v>
      </c>
      <c r="E1537" s="15">
        <f>2.225-0.045+6.29+0.02-0.016-1.339-0.074+0.029-0.017-0.041-0.057-0.037-0.016-0.022-0.032-0.031-0.216-0.089-0.012-0.089-0.089-0.06-0.022+0.065-0.069-0.01-0.101-0.069-0.013-0.089-0.229-0.04-0.031-0.011-0.032-0.089-0.045-0.008-0.031-0.018+0.528-0.037-0.265-0.107</f>
        <v>5.5589999999999984</v>
      </c>
    </row>
    <row r="1538" spans="1:5" x14ac:dyDescent="0.3">
      <c r="A1538" s="8">
        <v>108</v>
      </c>
      <c r="B1538" s="8">
        <v>12</v>
      </c>
      <c r="C1538" s="8" t="s">
        <v>12</v>
      </c>
      <c r="D1538" s="8" t="s">
        <v>32</v>
      </c>
      <c r="E1538" s="9">
        <f>0.24+4.866</f>
        <v>5.1059999999999999</v>
      </c>
    </row>
    <row r="1539" spans="1:5" x14ac:dyDescent="0.3">
      <c r="A1539" s="10">
        <v>108</v>
      </c>
      <c r="B1539" s="10">
        <v>12</v>
      </c>
      <c r="C1539" s="10" t="s">
        <v>26</v>
      </c>
      <c r="D1539" s="10" t="s">
        <v>1</v>
      </c>
      <c r="E1539" s="15">
        <f>5.03-0.121-0.041-0.042-0.079+0.003-0.282-0.566-0.071-0.204-0.021-0.013-0.017-0.02-0.286-0.017-0.19-0.061-0.287+0.5-0.026-0.091-0.109-0.032-0.016-0.213-0.032-0.091-0.076-0.023-0.02-0.076-0.016-0.062-0.005-0.017-0.017-0.285-0.121-0.032-0.031-0.012-0.01-0.023-0.046-0.031-0.017-0.068-0.121-0.026-0.021-0.121-0.018-0.062-0.061-0.139-0.029-0.047-0.012-0.032-0.283-0.026-0.017-0.032-0.05-0.005-0.047-0.008-0.026-0.02-0.031-0.047-0.041-0.011-0.101-0.048-0.062-0.032-0.045+0.04-0.031+0.3</f>
        <v>0.30500000000000099</v>
      </c>
    </row>
    <row r="1540" spans="1:5" x14ac:dyDescent="0.3">
      <c r="A1540" s="10">
        <v>108</v>
      </c>
      <c r="B1540" s="10">
        <v>12</v>
      </c>
      <c r="C1540" s="10" t="s">
        <v>26</v>
      </c>
      <c r="D1540" s="10" t="s">
        <v>64</v>
      </c>
      <c r="E1540" s="15">
        <f>4.902-0.019-0.553-0.007-0.175-0.08-0.013-0.017-0.025-0.117-0.025-0.039-0.017-0.013-0.024-0.012-0.01-0.016-0.032-0.007-0.047-0.007-0.022-0.118-0.009+2.538-0.017-0.187-0.057-0.012-0.013-0.036</f>
        <v>5.7139999999999995</v>
      </c>
    </row>
    <row r="1541" spans="1:5" x14ac:dyDescent="0.3">
      <c r="A1541" s="8">
        <v>108</v>
      </c>
      <c r="B1541" s="8">
        <v>12</v>
      </c>
      <c r="C1541" s="8" t="s">
        <v>35</v>
      </c>
      <c r="D1541" s="8" t="s">
        <v>32</v>
      </c>
      <c r="E1541" s="9">
        <f>1.312+7.582-0.2</f>
        <v>8.6940000000000008</v>
      </c>
    </row>
    <row r="1542" spans="1:5" x14ac:dyDescent="0.3">
      <c r="A1542" s="8">
        <v>108</v>
      </c>
      <c r="B1542" s="8">
        <v>12</v>
      </c>
      <c r="C1542" s="13">
        <v>45</v>
      </c>
      <c r="D1542" s="8" t="s">
        <v>15</v>
      </c>
      <c r="E1542" s="9">
        <f>0.009+0.225-0.045-0.062-0.031-0.059</f>
        <v>3.7000000000000005E-2</v>
      </c>
    </row>
    <row r="1543" spans="1:5" x14ac:dyDescent="0.3">
      <c r="A1543" s="10">
        <v>108</v>
      </c>
      <c r="B1543" s="10">
        <v>12</v>
      </c>
      <c r="C1543" s="10">
        <v>45</v>
      </c>
      <c r="D1543" s="10" t="s">
        <v>1</v>
      </c>
      <c r="E1543" s="15">
        <f>5.016+0.24-0.031-0.486-0.059-0.031-0.314-0.485-0.48-0.016-0.145-0.059-0.04-0.024-0.197-0.24-0.247-0.044-0.059-0.042-0.03-0.116-0.088-0.038-0.102-0.046-0.012-0.482-0.031-0.04-0.031</f>
        <v>1.241000000000001</v>
      </c>
    </row>
    <row r="1544" spans="1:5" x14ac:dyDescent="0.3">
      <c r="A1544" s="10">
        <v>108</v>
      </c>
      <c r="B1544" s="10">
        <v>12</v>
      </c>
      <c r="C1544" s="10">
        <v>45</v>
      </c>
      <c r="D1544" s="10" t="s">
        <v>1</v>
      </c>
      <c r="E1544" s="15">
        <v>0.48199999999999998</v>
      </c>
    </row>
    <row r="1545" spans="1:5" x14ac:dyDescent="0.3">
      <c r="A1545" s="10">
        <v>108</v>
      </c>
      <c r="B1545" s="10">
        <v>12</v>
      </c>
      <c r="C1545" s="10" t="s">
        <v>28</v>
      </c>
      <c r="D1545" s="10" t="s">
        <v>1</v>
      </c>
      <c r="E1545" s="15">
        <f>2.065+0.445-0.188-0.663+2.525-0.219+2.485+2.51-0.01</f>
        <v>8.9499999999999993</v>
      </c>
    </row>
    <row r="1546" spans="1:5" x14ac:dyDescent="0.3">
      <c r="A1546" s="10">
        <v>108</v>
      </c>
      <c r="B1546" s="10">
        <v>12</v>
      </c>
      <c r="C1546" s="10" t="s">
        <v>30</v>
      </c>
      <c r="D1546" s="10" t="s">
        <v>1</v>
      </c>
      <c r="E1546" s="15">
        <v>3.0249999999999999</v>
      </c>
    </row>
    <row r="1547" spans="1:5" x14ac:dyDescent="0.3">
      <c r="A1547" s="8">
        <v>108</v>
      </c>
      <c r="B1547" s="8">
        <v>12</v>
      </c>
      <c r="C1547" s="8" t="s">
        <v>30</v>
      </c>
      <c r="D1547" s="8" t="s">
        <v>1</v>
      </c>
      <c r="E1547" s="9">
        <v>5</v>
      </c>
    </row>
    <row r="1548" spans="1:5" x14ac:dyDescent="0.3">
      <c r="A1548" s="10">
        <v>108</v>
      </c>
      <c r="B1548" s="10">
        <v>12.5</v>
      </c>
      <c r="C1548" s="10" t="s">
        <v>21</v>
      </c>
      <c r="D1548" s="10" t="s">
        <v>64</v>
      </c>
      <c r="E1548" s="15">
        <f>0.176+0.875-0.181-0.061-0.358-0.295+2.84-0.006-0.542-0.028-0.031-0.181-0.091-0.091-1.084+2.86-0.034-0.057-0.073-0.361-0.543-0.032-0.061-0.091-0.023-0.362-0.362-0.091-0.017-0.031-1.61+0.097</f>
        <v>0.15099999999999961</v>
      </c>
    </row>
    <row r="1549" spans="1:5" x14ac:dyDescent="0.3">
      <c r="A1549" s="12">
        <v>108</v>
      </c>
      <c r="B1549" s="12">
        <v>13</v>
      </c>
      <c r="C1549" s="12" t="s">
        <v>26</v>
      </c>
      <c r="D1549" s="8" t="s">
        <v>64</v>
      </c>
      <c r="E1549" s="15">
        <v>0.46</v>
      </c>
    </row>
    <row r="1550" spans="1:5" x14ac:dyDescent="0.3">
      <c r="A1550" s="10">
        <v>108</v>
      </c>
      <c r="B1550" s="10">
        <v>14</v>
      </c>
      <c r="C1550" s="10">
        <v>20</v>
      </c>
      <c r="D1550" s="10" t="s">
        <v>1</v>
      </c>
      <c r="E1550" s="15">
        <f>0.475+1.9+0.25+0.263-0.103-0.042-0.015-0.236-0.022-0.022-0.03-0.051-0.035-0.068-0.102-0.015-0.068-0.118-0.088-0.035-0.049-0.23+3.654-0.019-0.068-0.135-0.052-0.49-0.036-0.042-0.165-0.035-0.035-0.035-0.417</f>
        <v>3.6840000000000011</v>
      </c>
    </row>
    <row r="1551" spans="1:5" x14ac:dyDescent="0.3">
      <c r="A1551" s="10">
        <v>108</v>
      </c>
      <c r="B1551" s="10">
        <v>14</v>
      </c>
      <c r="C1551" s="10" t="s">
        <v>26</v>
      </c>
      <c r="D1551" s="10" t="s">
        <v>1</v>
      </c>
      <c r="E1551" s="15">
        <f>1.788+1.556+2.93-0.106-0.229+0.061-0.22+0.093-0.006+0.606-0.061-0.123-0.087-0.098-0.095-0.071-0.037-0.037-0.321-0.457-0.458-0.072-0.229-0.037-0.113-0.228-0.106-0.274-0.275+1.45-0.274-0.122-0.134-0.216-0.106-1.96+1.296-0.125-0.023-0.053+2.386-0.072-0.042-0.145-0.013</f>
        <v>5.1410000000000027</v>
      </c>
    </row>
    <row r="1552" spans="1:5" x14ac:dyDescent="0.3">
      <c r="A1552" s="10">
        <v>108</v>
      </c>
      <c r="B1552" s="10">
        <v>14</v>
      </c>
      <c r="C1552" s="10" t="s">
        <v>26</v>
      </c>
      <c r="D1552" s="10" t="s">
        <v>64</v>
      </c>
      <c r="E1552" s="15">
        <f>4.936-0.254</f>
        <v>4.6820000000000004</v>
      </c>
    </row>
    <row r="1553" spans="1:5" x14ac:dyDescent="0.3">
      <c r="A1553" s="10">
        <v>108</v>
      </c>
      <c r="B1553" s="10">
        <v>14</v>
      </c>
      <c r="C1553" s="10">
        <v>35</v>
      </c>
      <c r="D1553" s="10" t="s">
        <v>1</v>
      </c>
      <c r="E1553" s="15">
        <f>4.97-0.269</f>
        <v>4.7009999999999996</v>
      </c>
    </row>
    <row r="1554" spans="1:5" x14ac:dyDescent="0.3">
      <c r="A1554" s="10">
        <v>108</v>
      </c>
      <c r="B1554" s="10">
        <v>14.2</v>
      </c>
      <c r="C1554" s="10" t="s">
        <v>21</v>
      </c>
      <c r="D1554" s="10" t="s">
        <v>64</v>
      </c>
      <c r="E1554" s="15">
        <f>0.985-0.044-0.036-0.056-0.085-0.068-0.206-0.069-0.059-0.205-0.147+0.04</f>
        <v>5.000000000000001E-2</v>
      </c>
    </row>
    <row r="1555" spans="1:5" x14ac:dyDescent="0.3">
      <c r="A1555" s="10">
        <v>108</v>
      </c>
      <c r="B1555" s="10">
        <v>14.2</v>
      </c>
      <c r="C1555" s="10" t="s">
        <v>21</v>
      </c>
      <c r="D1555" s="10" t="s">
        <v>64</v>
      </c>
      <c r="E1555" s="15">
        <f>0.205+0.147</f>
        <v>0.35199999999999998</v>
      </c>
    </row>
    <row r="1556" spans="1:5" x14ac:dyDescent="0.3">
      <c r="A1556" s="10">
        <v>108</v>
      </c>
      <c r="B1556" s="10">
        <v>14</v>
      </c>
      <c r="C1556" s="10" t="s">
        <v>28</v>
      </c>
      <c r="D1556" s="10" t="s">
        <v>1</v>
      </c>
      <c r="E1556" s="15">
        <f>5.41-0.948+1.99-0.318+2.13+0.965-0.276-1.272</f>
        <v>7.6809999999999992</v>
      </c>
    </row>
    <row r="1557" spans="1:5" x14ac:dyDescent="0.3">
      <c r="A1557" s="8">
        <v>108</v>
      </c>
      <c r="B1557" s="8">
        <v>14</v>
      </c>
      <c r="C1557" s="8" t="s">
        <v>30</v>
      </c>
      <c r="D1557" s="8" t="s">
        <v>1</v>
      </c>
      <c r="E1557" s="9">
        <f>1.75-0.315-0.117-0.194-0.317-0.317-0.31+5.45-0.035-0.1-0.322-0.101-0.035-0.022-0.32-1.271-0.322-0.644+3.266</f>
        <v>5.7240000000000002</v>
      </c>
    </row>
    <row r="1558" spans="1:5" x14ac:dyDescent="0.3">
      <c r="A1558" s="10">
        <v>108</v>
      </c>
      <c r="B1558" s="10">
        <v>16</v>
      </c>
      <c r="C1558" s="10">
        <v>20</v>
      </c>
      <c r="D1558" s="10" t="s">
        <v>110</v>
      </c>
      <c r="E1558" s="15">
        <f>0.737+0.255+0.432</f>
        <v>1.4239999999999999</v>
      </c>
    </row>
    <row r="1559" spans="1:5" x14ac:dyDescent="0.3">
      <c r="A1559" s="8">
        <v>108</v>
      </c>
      <c r="B1559" s="8">
        <v>16</v>
      </c>
      <c r="C1559" s="8">
        <v>20</v>
      </c>
      <c r="D1559" s="8" t="s">
        <v>1</v>
      </c>
      <c r="E1559" s="9">
        <f>0.112+0.191-0.068+0.48-0.046+0.194-0.243+4.69-0.014-0.021-0.852-0.116+0.5-0.078-0.038-0.017-0.039-0.126-0.04-0.264-0.287-0.046-0.014-0.05-0.017-0.486-0.097-0.025-0.021-0.279-0.022-0.024-0.092-0.093-0.166-0.025-0.567-0.107-0.05-0.268+4.2-0.564+1.514-0.005-0.122-0.01</f>
        <v>6.4820000000000011</v>
      </c>
    </row>
    <row r="1560" spans="1:5" x14ac:dyDescent="0.3">
      <c r="A1560" s="10">
        <v>108</v>
      </c>
      <c r="B1560" s="10">
        <v>16</v>
      </c>
      <c r="C1560" s="10" t="s">
        <v>26</v>
      </c>
      <c r="D1560" s="10" t="s">
        <v>64</v>
      </c>
      <c r="E1560" s="15">
        <f>4.794-0.009-0.076-0.161-1.063-0.03-0.077-0.07-0.075+0.796-0.087</f>
        <v>3.9420000000000006</v>
      </c>
    </row>
    <row r="1561" spans="1:5" x14ac:dyDescent="0.3">
      <c r="A1561" s="10">
        <v>108</v>
      </c>
      <c r="B1561" s="10">
        <v>16</v>
      </c>
      <c r="C1561" s="10">
        <v>45</v>
      </c>
      <c r="D1561" s="10" t="s">
        <v>1</v>
      </c>
      <c r="E1561" s="15">
        <f>3.704+8.29+0.203+0.04-0.006-0.264-0.264-0.262-0.205-0.199-0.266</f>
        <v>10.770999999999999</v>
      </c>
    </row>
    <row r="1562" spans="1:5" x14ac:dyDescent="0.3">
      <c r="A1562" s="10">
        <v>108</v>
      </c>
      <c r="B1562" s="10">
        <v>16</v>
      </c>
      <c r="C1562" s="10" t="s">
        <v>36</v>
      </c>
      <c r="D1562" s="10" t="s">
        <v>1</v>
      </c>
      <c r="E1562" s="15">
        <f>5.096-0.244-0.09+0.001-0.72-0.037-0.498-0.246-0.247-0.1-0.039-0.491-0.731-0.017-0.014</f>
        <v>1.6230000000000009</v>
      </c>
    </row>
    <row r="1563" spans="1:5" x14ac:dyDescent="0.3">
      <c r="A1563" s="10">
        <v>108</v>
      </c>
      <c r="B1563" s="10">
        <v>16</v>
      </c>
      <c r="C1563" s="10" t="s">
        <v>28</v>
      </c>
      <c r="D1563" s="10" t="s">
        <v>1</v>
      </c>
      <c r="E1563" s="15">
        <f>5.47+2.705+0.61+2.4-0.653-0.006-0.113-0.986-0.15-0.647</f>
        <v>8.629999999999999</v>
      </c>
    </row>
    <row r="1564" spans="1:5" x14ac:dyDescent="0.3">
      <c r="A1564" s="10">
        <v>108</v>
      </c>
      <c r="B1564" s="10">
        <v>16</v>
      </c>
      <c r="C1564" s="10" t="s">
        <v>95</v>
      </c>
      <c r="D1564" s="10" t="s">
        <v>1</v>
      </c>
      <c r="E1564" s="15">
        <f>5.23-2.655</f>
        <v>2.5750000000000006</v>
      </c>
    </row>
    <row r="1565" spans="1:5" x14ac:dyDescent="0.3">
      <c r="A1565" s="10">
        <v>108</v>
      </c>
      <c r="B1565" s="10">
        <v>16</v>
      </c>
      <c r="C1565" s="10" t="s">
        <v>30</v>
      </c>
      <c r="D1565" s="10" t="s">
        <v>1</v>
      </c>
      <c r="E1565" s="15">
        <f>2.47+2.765-0.645-0.323-0.113-0.113</f>
        <v>4.0409999999999986</v>
      </c>
    </row>
    <row r="1566" spans="1:5" x14ac:dyDescent="0.3">
      <c r="A1566" s="10">
        <v>108</v>
      </c>
      <c r="B1566" s="10">
        <v>16</v>
      </c>
      <c r="C1566" s="10" t="s">
        <v>31</v>
      </c>
      <c r="D1566" s="10" t="s">
        <v>32</v>
      </c>
      <c r="E1566" s="15">
        <f>0.836-0.025-0.006-0.006-0.007-0.381-0.014</f>
        <v>0.39699999999999991</v>
      </c>
    </row>
    <row r="1567" spans="1:5" x14ac:dyDescent="0.3">
      <c r="A1567" s="10">
        <v>108</v>
      </c>
      <c r="B1567" s="10">
        <v>17</v>
      </c>
      <c r="C1567" s="10">
        <v>35</v>
      </c>
      <c r="D1567" s="10" t="s">
        <v>1</v>
      </c>
      <c r="E1567" s="15">
        <f>6.73-0.261-0.257-0.258-0.515</f>
        <v>5.4390000000000009</v>
      </c>
    </row>
    <row r="1568" spans="1:5" x14ac:dyDescent="0.3">
      <c r="A1568" s="8">
        <v>108</v>
      </c>
      <c r="B1568" s="8">
        <v>18</v>
      </c>
      <c r="C1568" s="8">
        <v>20</v>
      </c>
      <c r="D1568" s="8" t="s">
        <v>1</v>
      </c>
      <c r="E1568" s="9">
        <v>5</v>
      </c>
    </row>
    <row r="1569" spans="1:5" x14ac:dyDescent="0.3">
      <c r="A1569" s="10">
        <v>108</v>
      </c>
      <c r="B1569" s="10">
        <v>18</v>
      </c>
      <c r="C1569" s="10" t="s">
        <v>26</v>
      </c>
      <c r="D1569" s="10" t="s">
        <v>1</v>
      </c>
      <c r="E1569" s="15">
        <f>0.363+0.06+0.128+5.08-0.306-0.084-0.06-0.045-0.023-0.043-0.363-0.55-0.129-0.084-0.315-0.124-0.939-1.395-0.166-0.18-0.175-0.123-0.104-0.01-0.08-0.314+0.168-0.139</f>
        <v>4.8000000000000348E-2</v>
      </c>
    </row>
    <row r="1570" spans="1:5" x14ac:dyDescent="0.3">
      <c r="A1570" s="8">
        <v>108</v>
      </c>
      <c r="B1570" s="8">
        <v>18</v>
      </c>
      <c r="C1570" s="8" t="s">
        <v>26</v>
      </c>
      <c r="D1570" s="8" t="s">
        <v>64</v>
      </c>
      <c r="E1570" s="9">
        <v>5</v>
      </c>
    </row>
    <row r="1571" spans="1:5" x14ac:dyDescent="0.3">
      <c r="A1571" s="10">
        <v>108</v>
      </c>
      <c r="B1571" s="10">
        <v>18</v>
      </c>
      <c r="C1571" s="10">
        <v>35</v>
      </c>
      <c r="D1571" s="10" t="s">
        <v>1</v>
      </c>
      <c r="E1571" s="15">
        <f>7.42-0.06-0.388-0.391-0.325-0.325-0.207-1.913-0.38-0.384-0.399-0.084-0.134-1.83-0.387-0.257+0.2-0.097</f>
        <v>5.900000000000008E-2</v>
      </c>
    </row>
    <row r="1572" spans="1:5" x14ac:dyDescent="0.3">
      <c r="A1572" s="10">
        <v>108</v>
      </c>
      <c r="B1572" s="10">
        <v>18</v>
      </c>
      <c r="C1572" s="10">
        <v>35</v>
      </c>
      <c r="D1572" s="10" t="s">
        <v>1</v>
      </c>
      <c r="E1572" s="15">
        <f>1.83+0.387-0.36+0.257-0.125-0.377+0.097-0.027-0.084-0.383-0.027-0.044-0.382-0.084-0.11-0.049-0.125-0.023</f>
        <v>0.37100000000000033</v>
      </c>
    </row>
    <row r="1573" spans="1:5" x14ac:dyDescent="0.3">
      <c r="A1573" s="8">
        <v>108</v>
      </c>
      <c r="B1573" s="8">
        <v>18</v>
      </c>
      <c r="C1573" s="8">
        <v>35</v>
      </c>
      <c r="D1573" s="8" t="s">
        <v>1</v>
      </c>
      <c r="E1573" s="9">
        <v>5</v>
      </c>
    </row>
    <row r="1574" spans="1:5" x14ac:dyDescent="0.3">
      <c r="A1574" s="8">
        <v>108</v>
      </c>
      <c r="B1574" s="8">
        <v>18</v>
      </c>
      <c r="C1574" s="8">
        <v>45</v>
      </c>
      <c r="D1574" s="8" t="s">
        <v>1</v>
      </c>
      <c r="E1574" s="9">
        <v>5</v>
      </c>
    </row>
    <row r="1575" spans="1:5" x14ac:dyDescent="0.3">
      <c r="A1575" s="10">
        <v>108</v>
      </c>
      <c r="B1575" s="10">
        <v>18</v>
      </c>
      <c r="C1575" s="10" t="s">
        <v>28</v>
      </c>
      <c r="D1575" s="10" t="s">
        <v>1</v>
      </c>
      <c r="E1575" s="15">
        <f>1.41+2.665-0.365+2.87+2.5-0.365-2.416-0.018-2.878-1.215</f>
        <v>2.1879999999999997</v>
      </c>
    </row>
    <row r="1576" spans="1:5" x14ac:dyDescent="0.3">
      <c r="A1576" s="10">
        <v>108</v>
      </c>
      <c r="B1576" s="10">
        <v>18</v>
      </c>
      <c r="C1576" s="10" t="s">
        <v>28</v>
      </c>
      <c r="D1576" s="10" t="s">
        <v>1</v>
      </c>
      <c r="E1576" s="15">
        <v>1.41</v>
      </c>
    </row>
    <row r="1577" spans="1:5" x14ac:dyDescent="0.3">
      <c r="A1577" s="10">
        <v>108</v>
      </c>
      <c r="B1577" s="10">
        <v>18</v>
      </c>
      <c r="C1577" s="10" t="s">
        <v>30</v>
      </c>
      <c r="D1577" s="10" t="s">
        <v>1</v>
      </c>
      <c r="E1577" s="15">
        <f>2.465+2.85-0.366-0.06-0.369-1.77</f>
        <v>2.7500000000000004</v>
      </c>
    </row>
    <row r="1578" spans="1:5" x14ac:dyDescent="0.3">
      <c r="A1578" s="10">
        <v>108</v>
      </c>
      <c r="B1578" s="10">
        <v>18</v>
      </c>
      <c r="C1578" s="10" t="s">
        <v>30</v>
      </c>
      <c r="D1578" s="10" t="s">
        <v>1</v>
      </c>
      <c r="E1578" s="15">
        <v>2.4649999999999999</v>
      </c>
    </row>
    <row r="1579" spans="1:5" x14ac:dyDescent="0.3">
      <c r="A1579" s="8">
        <v>108</v>
      </c>
      <c r="B1579" s="8">
        <v>20</v>
      </c>
      <c r="C1579" s="8">
        <v>20</v>
      </c>
      <c r="D1579" s="8" t="s">
        <v>1</v>
      </c>
      <c r="E1579" s="9">
        <v>5</v>
      </c>
    </row>
    <row r="1580" spans="1:5" x14ac:dyDescent="0.3">
      <c r="A1580" s="10">
        <v>108</v>
      </c>
      <c r="B1580" s="10">
        <v>20</v>
      </c>
      <c r="C1580" s="10" t="s">
        <v>26</v>
      </c>
      <c r="D1580" s="10" t="s">
        <v>1</v>
      </c>
      <c r="E1580" s="15">
        <f>2.43+1.91-0.238-0.092-0.007-0.021-0.109-0.092-0.01+1.155-0.133-0.02-0.062-0.086</f>
        <v>4.6250000000000009</v>
      </c>
    </row>
    <row r="1581" spans="1:5" x14ac:dyDescent="0.3">
      <c r="A1581" s="10">
        <v>108</v>
      </c>
      <c r="B1581" s="10">
        <v>20</v>
      </c>
      <c r="C1581" s="10" t="s">
        <v>28</v>
      </c>
      <c r="D1581" s="10" t="s">
        <v>1</v>
      </c>
      <c r="E1581" s="15">
        <f>0.275+2.65+2.66+0.44+5.355+2.6+1.53-0.069</f>
        <v>15.440999999999999</v>
      </c>
    </row>
    <row r="1582" spans="1:5" x14ac:dyDescent="0.3">
      <c r="A1582" s="10">
        <v>108</v>
      </c>
      <c r="B1582" s="10">
        <v>20</v>
      </c>
      <c r="C1582" s="10" t="s">
        <v>30</v>
      </c>
      <c r="D1582" s="10" t="s">
        <v>1</v>
      </c>
      <c r="E1582" s="15">
        <f>4.995-0.358-0.046-0.134-0.36-0.171-0.023-0.091-0.355-0.048-0.191-0.135-0.578-0.36-0.716-0.358-0.36-0.135+0.46+2.33-0.403-0.011+2.305-0.091</f>
        <v>5.1659999999999995</v>
      </c>
    </row>
    <row r="1583" spans="1:5" x14ac:dyDescent="0.3">
      <c r="A1583" s="8">
        <v>108</v>
      </c>
      <c r="B1583" s="8">
        <v>22</v>
      </c>
      <c r="C1583" s="8">
        <v>20</v>
      </c>
      <c r="D1583" s="8" t="s">
        <v>1</v>
      </c>
      <c r="E1583" s="9">
        <v>5</v>
      </c>
    </row>
    <row r="1584" spans="1:5" x14ac:dyDescent="0.3">
      <c r="A1584" s="8">
        <v>108</v>
      </c>
      <c r="B1584" s="8">
        <v>22</v>
      </c>
      <c r="C1584" s="8">
        <v>35</v>
      </c>
      <c r="D1584" s="8" t="s">
        <v>1</v>
      </c>
      <c r="E1584" s="9">
        <v>5</v>
      </c>
    </row>
    <row r="1585" spans="1:5" x14ac:dyDescent="0.3">
      <c r="A1585" s="8">
        <v>108</v>
      </c>
      <c r="B1585" s="8">
        <v>22</v>
      </c>
      <c r="C1585" s="8">
        <v>45</v>
      </c>
      <c r="D1585" s="8" t="s">
        <v>1</v>
      </c>
      <c r="E1585" s="9">
        <v>5</v>
      </c>
    </row>
    <row r="1586" spans="1:5" x14ac:dyDescent="0.3">
      <c r="A1586" s="10">
        <v>108</v>
      </c>
      <c r="B1586" s="10">
        <v>22</v>
      </c>
      <c r="C1586" s="10" t="s">
        <v>36</v>
      </c>
      <c r="D1586" s="10" t="s">
        <v>1</v>
      </c>
      <c r="E1586" s="15">
        <f>5.46-0.048-0.136-2.81-0.165-0.82-0.784</f>
        <v>0.69699999999999984</v>
      </c>
    </row>
    <row r="1587" spans="1:5" x14ac:dyDescent="0.3">
      <c r="A1587" s="10">
        <v>108</v>
      </c>
      <c r="B1587" s="10">
        <v>22</v>
      </c>
      <c r="C1587" s="10" t="s">
        <v>36</v>
      </c>
      <c r="D1587" s="10" t="s">
        <v>1</v>
      </c>
      <c r="E1587" s="15">
        <f>4.87-0.512-0.254-0.259</f>
        <v>3.8450000000000011</v>
      </c>
    </row>
    <row r="1588" spans="1:5" x14ac:dyDescent="0.3">
      <c r="A1588" s="10">
        <v>108</v>
      </c>
      <c r="B1588" s="10">
        <v>22</v>
      </c>
      <c r="C1588" s="10" t="s">
        <v>28</v>
      </c>
      <c r="D1588" s="10" t="s">
        <v>15</v>
      </c>
      <c r="E1588" s="15">
        <f>0.592+5.365-0.05-3.1-0.098-0.197+4.675-0.414-7.333+0.658</f>
        <v>9.7999999999999532E-2</v>
      </c>
    </row>
    <row r="1589" spans="1:5" x14ac:dyDescent="0.3">
      <c r="A1589" s="10">
        <v>108</v>
      </c>
      <c r="B1589" s="10">
        <v>22</v>
      </c>
      <c r="C1589" s="10" t="s">
        <v>28</v>
      </c>
      <c r="D1589" s="10" t="s">
        <v>1</v>
      </c>
      <c r="E1589" s="15">
        <f>2.655+2.99+1.08-0.074+1.505+4.555-0.285-0.084</f>
        <v>12.341999999999999</v>
      </c>
    </row>
    <row r="1590" spans="1:5" x14ac:dyDescent="0.3">
      <c r="A1590" s="8">
        <v>108</v>
      </c>
      <c r="B1590" s="8">
        <v>22</v>
      </c>
      <c r="C1590" s="8" t="s">
        <v>30</v>
      </c>
      <c r="D1590" s="8" t="s">
        <v>1</v>
      </c>
      <c r="E1590" s="9">
        <v>5</v>
      </c>
    </row>
    <row r="1591" spans="1:5" x14ac:dyDescent="0.3">
      <c r="A1591" s="10">
        <v>108</v>
      </c>
      <c r="B1591" s="10">
        <v>24</v>
      </c>
      <c r="C1591" s="10">
        <v>20</v>
      </c>
      <c r="D1591" s="10" t="s">
        <v>1</v>
      </c>
      <c r="E1591" s="15">
        <f>0.052-0.017-0.018-0.017+0.003</f>
        <v>2.9999999999999966E-3</v>
      </c>
    </row>
    <row r="1592" spans="1:5" x14ac:dyDescent="0.3">
      <c r="A1592" s="10">
        <v>108</v>
      </c>
      <c r="B1592" s="10">
        <v>25</v>
      </c>
      <c r="C1592" s="10">
        <v>20</v>
      </c>
      <c r="D1592" s="10" t="s">
        <v>1</v>
      </c>
      <c r="E1592" s="15">
        <f>0.802+3.229-0.079-0.054-0.184+0.8-0.029-0.058-0.186-0.054-0.101-0.158-0.311-0.029-0.116-0.21-0.034-0.098-0.199-0.159-0.253-0.108-0.028-0.029-0.022</f>
        <v>2.3320000000000012</v>
      </c>
    </row>
    <row r="1593" spans="1:5" x14ac:dyDescent="0.3">
      <c r="A1593" s="10">
        <v>108</v>
      </c>
      <c r="B1593" s="10">
        <v>25</v>
      </c>
      <c r="C1593" s="10">
        <v>35</v>
      </c>
      <c r="D1593" s="10" t="s">
        <v>1</v>
      </c>
      <c r="E1593" s="15">
        <f>4.345+5.28+0.735-0.495-0.391-0.392-0.39-0.355-0.79-0.488-0.489-0.485-0.501-0.482</f>
        <v>5.1019999999999985</v>
      </c>
    </row>
    <row r="1594" spans="1:5" x14ac:dyDescent="0.3">
      <c r="A1594" s="8">
        <v>108</v>
      </c>
      <c r="B1594" s="8">
        <v>25</v>
      </c>
      <c r="C1594" s="8">
        <v>45</v>
      </c>
      <c r="D1594" s="8" t="s">
        <v>1</v>
      </c>
      <c r="E1594" s="9">
        <f>0.024+4.315-2.878-0.091-0.039-0.35-0.055-0.432</f>
        <v>0.49400000000000038</v>
      </c>
    </row>
    <row r="1595" spans="1:5" x14ac:dyDescent="0.3">
      <c r="A1595" s="8">
        <v>108</v>
      </c>
      <c r="B1595" s="8">
        <v>25</v>
      </c>
      <c r="C1595" s="8">
        <v>45</v>
      </c>
      <c r="D1595" s="8" t="s">
        <v>1</v>
      </c>
      <c r="E1595" s="9">
        <v>5</v>
      </c>
    </row>
    <row r="1596" spans="1:5" x14ac:dyDescent="0.3">
      <c r="A1596" s="10">
        <v>108</v>
      </c>
      <c r="B1596" s="10">
        <v>25</v>
      </c>
      <c r="C1596" s="10" t="s">
        <v>28</v>
      </c>
      <c r="D1596" s="10" t="s">
        <v>1</v>
      </c>
      <c r="E1596" s="15">
        <f>5.076-0.106-0.339-0.317-0.017-0.094-0.158-3.966-0.167+0.2</f>
        <v>0.11199999999999796</v>
      </c>
    </row>
    <row r="1597" spans="1:5" x14ac:dyDescent="0.3">
      <c r="A1597" s="10">
        <v>108</v>
      </c>
      <c r="B1597" s="10">
        <v>25</v>
      </c>
      <c r="C1597" s="10" t="s">
        <v>28</v>
      </c>
      <c r="D1597" s="10" t="s">
        <v>1</v>
      </c>
      <c r="E1597" s="15">
        <f>3.966+0.167-0.132-1.353+4.905-0.054-0.459-0.187-0.158</f>
        <v>6.6950000000000003</v>
      </c>
    </row>
    <row r="1598" spans="1:5" x14ac:dyDescent="0.3">
      <c r="A1598" s="8">
        <v>108</v>
      </c>
      <c r="B1598" s="8">
        <v>26</v>
      </c>
      <c r="C1598" s="8" t="s">
        <v>30</v>
      </c>
      <c r="D1598" s="8" t="s">
        <v>1</v>
      </c>
      <c r="E1598" s="9">
        <v>8</v>
      </c>
    </row>
    <row r="1599" spans="1:5" x14ac:dyDescent="0.3">
      <c r="A1599" s="8">
        <v>108</v>
      </c>
      <c r="B1599" s="8">
        <v>28</v>
      </c>
      <c r="C1599" s="8">
        <v>20</v>
      </c>
      <c r="D1599" s="8" t="s">
        <v>1</v>
      </c>
      <c r="E1599" s="9">
        <v>5</v>
      </c>
    </row>
    <row r="1600" spans="1:5" x14ac:dyDescent="0.3">
      <c r="A1600" s="8">
        <v>108</v>
      </c>
      <c r="B1600" s="8">
        <v>28</v>
      </c>
      <c r="C1600" s="8" t="s">
        <v>26</v>
      </c>
      <c r="D1600" s="8" t="s">
        <v>64</v>
      </c>
      <c r="E1600" s="9">
        <f>2.59+0.32+2.26-0.761-0.341-0.705-0.32-0.382-0.055-0.097-0.22-0.38-0.218-0.758</f>
        <v>0.93299999999999939</v>
      </c>
    </row>
    <row r="1601" spans="1:5" x14ac:dyDescent="0.3">
      <c r="A1601" s="10">
        <v>108</v>
      </c>
      <c r="B1601" s="10">
        <v>28</v>
      </c>
      <c r="C1601" s="10">
        <v>35</v>
      </c>
      <c r="D1601" s="10" t="s">
        <v>1</v>
      </c>
      <c r="E1601" s="15">
        <f>5.09-0.436-0.382-0.381-0.435-0.763-0.032-0.753-0.44-0.425-0.204-0.14-0.087-0.348</f>
        <v>0.26400000000000001</v>
      </c>
    </row>
    <row r="1602" spans="1:5" x14ac:dyDescent="0.3">
      <c r="A1602" s="8">
        <v>108</v>
      </c>
      <c r="B1602" s="8">
        <v>28</v>
      </c>
      <c r="C1602" s="8">
        <v>35</v>
      </c>
      <c r="D1602" s="8" t="s">
        <v>1</v>
      </c>
      <c r="E1602" s="9">
        <v>5</v>
      </c>
    </row>
    <row r="1603" spans="1:5" x14ac:dyDescent="0.3">
      <c r="A1603" s="10">
        <v>108</v>
      </c>
      <c r="B1603" s="10">
        <v>28</v>
      </c>
      <c r="C1603" s="10">
        <v>45</v>
      </c>
      <c r="D1603" s="10" t="s">
        <v>1</v>
      </c>
      <c r="E1603" s="15">
        <f>5.445-0.07-0.137-0.193-0.396</f>
        <v>4.649</v>
      </c>
    </row>
    <row r="1604" spans="1:5" x14ac:dyDescent="0.3">
      <c r="A1604" s="8">
        <v>108</v>
      </c>
      <c r="B1604" s="8">
        <v>28</v>
      </c>
      <c r="C1604" s="8" t="s">
        <v>28</v>
      </c>
      <c r="D1604" s="8" t="s">
        <v>15</v>
      </c>
      <c r="E1604" s="9">
        <f>0.35+0.132+0.091-0.047-0.086-0.045-0.354</f>
        <v>4.0999999999999981E-2</v>
      </c>
    </row>
    <row r="1605" spans="1:5" x14ac:dyDescent="0.3">
      <c r="A1605" s="10">
        <v>108</v>
      </c>
      <c r="B1605" s="10">
        <v>28</v>
      </c>
      <c r="C1605" s="10" t="s">
        <v>28</v>
      </c>
      <c r="D1605" s="10" t="s">
        <v>1</v>
      </c>
      <c r="E1605" s="15">
        <f>4.565+4.81-1.015-2.537-0.417-2.465-0.504-0.414-0.093-0.04-0.699-0.059-0.51-0.36+2.64+3.77+1.39+2.64-0.059</f>
        <v>10.643000000000002</v>
      </c>
    </row>
    <row r="1606" spans="1:5" x14ac:dyDescent="0.3">
      <c r="A1606" s="10">
        <v>108</v>
      </c>
      <c r="B1606" s="10">
        <v>28</v>
      </c>
      <c r="C1606" s="10" t="s">
        <v>30</v>
      </c>
      <c r="D1606" s="10" t="s">
        <v>1</v>
      </c>
      <c r="E1606" s="15">
        <f>2.7+2.705-0.406-0.171-0.213</f>
        <v>4.6150000000000002</v>
      </c>
    </row>
    <row r="1607" spans="1:5" x14ac:dyDescent="0.3">
      <c r="A1607" s="8">
        <v>108</v>
      </c>
      <c r="B1607" s="8">
        <v>28</v>
      </c>
      <c r="C1607" s="8" t="s">
        <v>106</v>
      </c>
      <c r="D1607" s="8" t="s">
        <v>1</v>
      </c>
      <c r="E1607" s="9">
        <f>4.795-0.221-2.062-0.409</f>
        <v>2.1030000000000002</v>
      </c>
    </row>
    <row r="1608" spans="1:5" x14ac:dyDescent="0.3">
      <c r="A1608" s="8">
        <v>108</v>
      </c>
      <c r="B1608" s="8">
        <v>30</v>
      </c>
      <c r="C1608" s="8">
        <v>20</v>
      </c>
      <c r="D1608" s="8" t="s">
        <v>1</v>
      </c>
      <c r="E1608" s="9">
        <f>4.78-0.119</f>
        <v>4.6610000000000005</v>
      </c>
    </row>
    <row r="1609" spans="1:5" x14ac:dyDescent="0.3">
      <c r="A1609" s="10">
        <v>108</v>
      </c>
      <c r="B1609" s="10">
        <v>30</v>
      </c>
      <c r="C1609" s="10" t="s">
        <v>30</v>
      </c>
      <c r="D1609" s="10" t="s">
        <v>1</v>
      </c>
      <c r="E1609" s="15">
        <f>10.545-0.774-0.379-0.025-0.206-0.025-0.177-1.153-0.121-4.188</f>
        <v>3.4970000000000008</v>
      </c>
    </row>
    <row r="1610" spans="1:5" x14ac:dyDescent="0.3">
      <c r="A1610" s="8">
        <v>108</v>
      </c>
      <c r="B1610" s="8">
        <v>36</v>
      </c>
      <c r="C1610" s="8" t="s">
        <v>30</v>
      </c>
      <c r="D1610" s="8" t="s">
        <v>1</v>
      </c>
      <c r="E1610" s="9">
        <v>5</v>
      </c>
    </row>
    <row r="1611" spans="1:5" x14ac:dyDescent="0.3">
      <c r="A1611" s="10">
        <v>110</v>
      </c>
      <c r="B1611" s="10">
        <v>2</v>
      </c>
      <c r="C1611" s="10">
        <v>10</v>
      </c>
      <c r="D1611" s="10" t="s">
        <v>4</v>
      </c>
      <c r="E1611" s="15">
        <f>3.125-0.3-0.302-0.29-0.039-0.097-0.35</f>
        <v>1.7469999999999999</v>
      </c>
    </row>
    <row r="1612" spans="1:5" x14ac:dyDescent="0.3">
      <c r="A1612" s="8">
        <v>110.2</v>
      </c>
      <c r="B1612" s="8">
        <v>13.6</v>
      </c>
      <c r="C1612" s="13" t="s">
        <v>33</v>
      </c>
      <c r="D1612" s="8" t="s">
        <v>17</v>
      </c>
      <c r="E1612" s="9">
        <f>11.215-0.108-0.205-0.075-0.69-0.055-0.014-0.032</f>
        <v>10.036000000000001</v>
      </c>
    </row>
    <row r="1613" spans="1:5" x14ac:dyDescent="0.3">
      <c r="A1613" s="10">
        <v>110</v>
      </c>
      <c r="B1613" s="10">
        <v>25</v>
      </c>
      <c r="C1613" s="10" t="s">
        <v>106</v>
      </c>
      <c r="D1613" s="10" t="s">
        <v>1</v>
      </c>
      <c r="E1613" s="15">
        <v>5.27</v>
      </c>
    </row>
    <row r="1614" spans="1:5" x14ac:dyDescent="0.3">
      <c r="A1614" s="10">
        <v>114</v>
      </c>
      <c r="B1614" s="10">
        <v>4</v>
      </c>
      <c r="C1614" s="10">
        <v>20</v>
      </c>
      <c r="D1614" s="10" t="s">
        <v>1</v>
      </c>
      <c r="E1614" s="15">
        <f>0.796+0.404+0.231+0.098-0.607-0.015-0.121-0.054+0.11-0.025-0.033+0.288-0.597-0.01+0.069-0.007-0.114-0.038-0.038+0.262-0.013-0.127+0.049-0.034-0.007-0.013-0.151-0.031-0.024-0.025-0.037+2.11-0.013-0.171-0.062</f>
        <v>2.0500000000000007</v>
      </c>
    </row>
    <row r="1615" spans="1:5" x14ac:dyDescent="0.3">
      <c r="A1615" s="12">
        <v>114</v>
      </c>
      <c r="B1615" s="12">
        <v>4</v>
      </c>
      <c r="C1615" s="12">
        <v>20</v>
      </c>
      <c r="D1615" s="8" t="s">
        <v>1</v>
      </c>
      <c r="E1615" s="15">
        <v>0.09</v>
      </c>
    </row>
    <row r="1616" spans="1:5" x14ac:dyDescent="0.3">
      <c r="A1616" s="10">
        <v>114</v>
      </c>
      <c r="B1616" s="10">
        <v>4</v>
      </c>
      <c r="C1616" s="10" t="s">
        <v>26</v>
      </c>
      <c r="D1616" s="10" t="s">
        <v>1</v>
      </c>
      <c r="E1616" s="15">
        <f>0.17+2.132+0.165-0.007-0.123-1.16-0.013-0.013-0.025-0.017-0.007-0.035-0.115-0.039-0.052-0.031-0.46-0.013-0.011-0.154+1.688-0.013-0.087-0.242-0.587</f>
        <v>0.95100000000000029</v>
      </c>
    </row>
    <row r="1617" spans="1:5" x14ac:dyDescent="0.3">
      <c r="A1617" s="12">
        <v>114</v>
      </c>
      <c r="B1617" s="12">
        <v>4</v>
      </c>
      <c r="C1617" s="12" t="s">
        <v>26</v>
      </c>
      <c r="D1617" s="8" t="s">
        <v>64</v>
      </c>
      <c r="E1617" s="15">
        <v>1.1399999999999999</v>
      </c>
    </row>
    <row r="1618" spans="1:5" x14ac:dyDescent="0.3">
      <c r="A1618" s="10">
        <v>114</v>
      </c>
      <c r="B1618" s="10">
        <v>4</v>
      </c>
      <c r="C1618" s="10">
        <v>45</v>
      </c>
      <c r="D1618" s="10" t="s">
        <v>1</v>
      </c>
      <c r="E1618" s="15">
        <v>9.5000000000000001E-2</v>
      </c>
    </row>
    <row r="1619" spans="1:5" x14ac:dyDescent="0.3">
      <c r="A1619" s="10">
        <v>114</v>
      </c>
      <c r="B1619" s="10">
        <v>4.5</v>
      </c>
      <c r="C1619" s="10">
        <v>20</v>
      </c>
      <c r="D1619" s="10" t="s">
        <v>7</v>
      </c>
      <c r="E1619" s="15">
        <f>0.114-0.013-0.013-0.013</f>
        <v>7.5000000000000011E-2</v>
      </c>
    </row>
    <row r="1620" spans="1:5" x14ac:dyDescent="0.3">
      <c r="A1620" s="10">
        <v>114</v>
      </c>
      <c r="B1620" s="10">
        <v>4.5</v>
      </c>
      <c r="C1620" s="10">
        <v>20</v>
      </c>
      <c r="D1620" s="10" t="s">
        <v>1</v>
      </c>
      <c r="E1620" s="15">
        <f>0.89+0.11-0.89</f>
        <v>0.10999999999999999</v>
      </c>
    </row>
    <row r="1621" spans="1:5" x14ac:dyDescent="0.3">
      <c r="A1621" s="10">
        <v>114</v>
      </c>
      <c r="B1621" s="10">
        <v>4.5</v>
      </c>
      <c r="C1621" s="10">
        <v>20</v>
      </c>
      <c r="D1621" s="10" t="s">
        <v>1</v>
      </c>
      <c r="E1621" s="15">
        <f>1.128+0.89-0.02-0.016-0.088-0.008-0.096-0.014-0.008-0.014-0.252</f>
        <v>1.5019999999999996</v>
      </c>
    </row>
    <row r="1622" spans="1:5" x14ac:dyDescent="0.3">
      <c r="A1622" s="10">
        <v>114</v>
      </c>
      <c r="B1622" s="10">
        <v>4.5</v>
      </c>
      <c r="C1622" s="10" t="s">
        <v>26</v>
      </c>
      <c r="D1622" s="10" t="s">
        <v>1</v>
      </c>
      <c r="E1622" s="15">
        <v>0.38800000000000001</v>
      </c>
    </row>
    <row r="1623" spans="1:5" x14ac:dyDescent="0.3">
      <c r="A1623" s="10">
        <v>114</v>
      </c>
      <c r="B1623" s="10">
        <v>5</v>
      </c>
      <c r="C1623" s="10" t="s">
        <v>58</v>
      </c>
      <c r="D1623" s="10" t="s">
        <v>7</v>
      </c>
      <c r="E1623" s="15">
        <f>0.681-0.084-0.01-0.047-0.156-0.24</f>
        <v>0.14400000000000002</v>
      </c>
    </row>
    <row r="1624" spans="1:5" x14ac:dyDescent="0.3">
      <c r="A1624" s="10">
        <v>114</v>
      </c>
      <c r="B1624" s="10">
        <v>5</v>
      </c>
      <c r="C1624" s="10" t="s">
        <v>58</v>
      </c>
      <c r="D1624" s="10" t="s">
        <v>7</v>
      </c>
      <c r="E1624" s="15">
        <f>0.156+0.24-0.104-0.015</f>
        <v>0.27700000000000002</v>
      </c>
    </row>
    <row r="1625" spans="1:5" x14ac:dyDescent="0.3">
      <c r="A1625" s="10">
        <v>114</v>
      </c>
      <c r="B1625" s="10">
        <v>5</v>
      </c>
      <c r="C1625" s="10">
        <v>20</v>
      </c>
      <c r="D1625" s="10" t="s">
        <v>1</v>
      </c>
      <c r="E1625" s="15">
        <f>3.69+0.93+0.47+0.62+0.059-0.085-0.043-0.029-0.063-0.157-0.029-0.157-0.013-0.004-0.004+2.424-0.015-0.045-0.008-0.013-0.12-0.03-0.01-0.008-0.043-0.034-0.393-0.03-0.043-0.15-0.041-0.029-0.053-0.316-6.64+0.52-0.015-0.063</f>
        <v>3.0000000000001872E-2</v>
      </c>
    </row>
    <row r="1626" spans="1:5" x14ac:dyDescent="0.3">
      <c r="A1626" s="10">
        <v>114</v>
      </c>
      <c r="B1626" s="10">
        <v>5</v>
      </c>
      <c r="C1626" s="10">
        <v>20</v>
      </c>
      <c r="D1626" s="10" t="s">
        <v>1</v>
      </c>
      <c r="E1626" s="15">
        <f>6.64+0.6+0.072+1.615-0.015+0.063-0.011-0.108-0.03-0.024-0.044-0.012-0.022-0.015-0.023-0.023-0.03</f>
        <v>8.6330000000000009</v>
      </c>
    </row>
    <row r="1627" spans="1:5" x14ac:dyDescent="0.3">
      <c r="A1627" s="10">
        <v>114</v>
      </c>
      <c r="B1627" s="10">
        <v>5</v>
      </c>
      <c r="C1627" s="10" t="s">
        <v>26</v>
      </c>
      <c r="D1627" s="10" t="s">
        <v>7</v>
      </c>
      <c r="E1627" s="15">
        <f>0.96-0.084-0.8</f>
        <v>7.5999999999999956E-2</v>
      </c>
    </row>
    <row r="1628" spans="1:5" x14ac:dyDescent="0.3">
      <c r="A1628" s="10">
        <v>114</v>
      </c>
      <c r="B1628" s="10">
        <v>5</v>
      </c>
      <c r="C1628" s="10" t="s">
        <v>26</v>
      </c>
      <c r="D1628" s="10" t="s">
        <v>7</v>
      </c>
      <c r="E1628" s="15">
        <f>0.8+0.033+0.068-0.161-0.008-0.036-0.084-0.027-0.006</f>
        <v>0.57899999999999996</v>
      </c>
    </row>
    <row r="1629" spans="1:5" x14ac:dyDescent="0.3">
      <c r="A1629" s="10">
        <v>114</v>
      </c>
      <c r="B1629" s="10">
        <v>5</v>
      </c>
      <c r="C1629" s="10" t="s">
        <v>26</v>
      </c>
      <c r="D1629" s="10" t="s">
        <v>1</v>
      </c>
      <c r="E1629" s="15">
        <f>1.134+0.99+5.504+0.108+0.236+2.174+0.132+0.315+0.644-0.049-0.152+0.61+0.141+0.068-0.085-0.06-0.074-0.135-0.381-0.267-0.016-0.137-0.139+0.043-0.016-0.149-0.273-0.011-0.085-0.125-0.41</f>
        <v>9.5349999999999984</v>
      </c>
    </row>
    <row r="1630" spans="1:5" x14ac:dyDescent="0.3">
      <c r="A1630" s="10">
        <v>114</v>
      </c>
      <c r="B1630" s="10">
        <v>6</v>
      </c>
      <c r="C1630" s="10">
        <v>20</v>
      </c>
      <c r="D1630" s="10" t="s">
        <v>7</v>
      </c>
      <c r="E1630" s="15">
        <f>0.382+0.102-0.102</f>
        <v>0.38200000000000001</v>
      </c>
    </row>
    <row r="1631" spans="1:5" x14ac:dyDescent="0.3">
      <c r="A1631" s="13">
        <v>114</v>
      </c>
      <c r="B1631" s="13">
        <v>6</v>
      </c>
      <c r="C1631" s="13">
        <v>20</v>
      </c>
      <c r="D1631" s="13" t="s">
        <v>1</v>
      </c>
      <c r="E1631" s="16">
        <f>1.89+2.64+0.121+0.051+0.089-0.052-0.008+0.043-0.013-0.691-0.16-0.044-0.015-0.014-0.05-0.027-0.014+0.386-0.003-0.386-1.96-0.101-0.077</f>
        <v>1.6050000000000013</v>
      </c>
    </row>
    <row r="1632" spans="1:5" x14ac:dyDescent="0.3">
      <c r="A1632" s="10">
        <v>114</v>
      </c>
      <c r="B1632" s="10">
        <v>6</v>
      </c>
      <c r="C1632" s="10">
        <v>20</v>
      </c>
      <c r="D1632" s="10" t="s">
        <v>1</v>
      </c>
      <c r="E1632" s="15">
        <f>0.638+0.386+1.96+0.504-0.161-0.006-0.028-0.106-0.034-0.094-0.018-0.258+0.258-0.031-0.039-0.051-0.042-0.153-0.013-0.057-0.019+0.077-0.019</f>
        <v>2.6940000000000004</v>
      </c>
    </row>
    <row r="1633" spans="1:5" x14ac:dyDescent="0.3">
      <c r="A1633" s="8">
        <v>114</v>
      </c>
      <c r="B1633" s="8">
        <v>6</v>
      </c>
      <c r="C1633" s="8" t="s">
        <v>39</v>
      </c>
      <c r="D1633" s="8" t="s">
        <v>1</v>
      </c>
      <c r="E1633" s="9">
        <f>0.882-0.444-0.305</f>
        <v>0.13300000000000001</v>
      </c>
    </row>
    <row r="1634" spans="1:5" x14ac:dyDescent="0.3">
      <c r="A1634" s="12">
        <v>114</v>
      </c>
      <c r="B1634" s="12">
        <v>6</v>
      </c>
      <c r="C1634" s="12" t="s">
        <v>39</v>
      </c>
      <c r="D1634" s="8" t="s">
        <v>1</v>
      </c>
      <c r="E1634" s="15">
        <v>1.1000000000000001</v>
      </c>
    </row>
    <row r="1635" spans="1:5" x14ac:dyDescent="0.3">
      <c r="A1635" s="10">
        <v>114</v>
      </c>
      <c r="B1635" s="10">
        <v>6</v>
      </c>
      <c r="C1635" s="10">
        <v>20</v>
      </c>
      <c r="D1635" s="10" t="s">
        <v>8</v>
      </c>
      <c r="E1635" s="15">
        <f>5.48+4.58+0.127+0.24-0.126-0.072-0.78-8.13</f>
        <v>1.3190000000000026</v>
      </c>
    </row>
    <row r="1636" spans="1:5" x14ac:dyDescent="0.3">
      <c r="A1636" s="10">
        <v>114</v>
      </c>
      <c r="B1636" s="10">
        <v>6</v>
      </c>
      <c r="C1636" s="10">
        <v>20</v>
      </c>
      <c r="D1636" s="10" t="s">
        <v>8</v>
      </c>
      <c r="E1636" s="15">
        <f>8.13-0.162-0.156</f>
        <v>7.8120000000000012</v>
      </c>
    </row>
    <row r="1637" spans="1:5" x14ac:dyDescent="0.3">
      <c r="A1637" s="10">
        <v>114</v>
      </c>
      <c r="B1637" s="10">
        <v>6</v>
      </c>
      <c r="C1637" s="10" t="s">
        <v>175</v>
      </c>
      <c r="D1637" s="10" t="s">
        <v>1</v>
      </c>
      <c r="E1637" s="15">
        <f>0.156+0.161</f>
        <v>0.317</v>
      </c>
    </row>
    <row r="1638" spans="1:5" x14ac:dyDescent="0.3">
      <c r="A1638" s="10">
        <v>114</v>
      </c>
      <c r="B1638" s="10">
        <v>6</v>
      </c>
      <c r="C1638" s="10" t="s">
        <v>26</v>
      </c>
      <c r="D1638" s="10" t="s">
        <v>7</v>
      </c>
      <c r="E1638" s="15">
        <f>0.296+3.151-0.003-0.034-2.884-0.296</f>
        <v>0.22999999999999982</v>
      </c>
    </row>
    <row r="1639" spans="1:5" x14ac:dyDescent="0.3">
      <c r="A1639" s="10">
        <v>114</v>
      </c>
      <c r="B1639" s="10">
        <v>6</v>
      </c>
      <c r="C1639" s="10" t="s">
        <v>26</v>
      </c>
      <c r="D1639" s="10" t="s">
        <v>7</v>
      </c>
      <c r="E1639" s="15">
        <f>2.884+0.296-1.67-0.009-0.034</f>
        <v>1.4669999999999999</v>
      </c>
    </row>
    <row r="1640" spans="1:5" x14ac:dyDescent="0.3">
      <c r="A1640" s="10">
        <v>114</v>
      </c>
      <c r="B1640" s="10">
        <v>6</v>
      </c>
      <c r="C1640" s="10" t="s">
        <v>26</v>
      </c>
      <c r="D1640" s="10" t="s">
        <v>89</v>
      </c>
      <c r="E1640" s="15">
        <v>0.59299999999999997</v>
      </c>
    </row>
    <row r="1641" spans="1:5" x14ac:dyDescent="0.3">
      <c r="A1641" s="10">
        <v>114</v>
      </c>
      <c r="B1641" s="10">
        <v>6</v>
      </c>
      <c r="C1641" s="10" t="s">
        <v>26</v>
      </c>
      <c r="D1641" s="10" t="s">
        <v>1</v>
      </c>
      <c r="E1641" s="15">
        <f>2.206+0.347+2.47-0.18-0.013-0.035-0.024-0.018-0.035-0.035-2.206-0.018-1.51-0.17-0.17-0.51-0.116+0.04-0.018</f>
        <v>4.9999999999999732E-3</v>
      </c>
    </row>
    <row r="1642" spans="1:5" x14ac:dyDescent="0.3">
      <c r="A1642" s="10">
        <v>114</v>
      </c>
      <c r="B1642" s="10">
        <v>6</v>
      </c>
      <c r="C1642" s="10" t="s">
        <v>26</v>
      </c>
      <c r="D1642" s="10" t="s">
        <v>1</v>
      </c>
      <c r="E1642" s="15">
        <f>2.206+1.51-0.027-0.156+0.17+0.51-0.003+0.116-0.019-0.07-0.01-0.037-0.012-0.039-0.052-0.013-0.278-0.091-0.013-0.011-0.172-0.027-0.347-0.162-0.033-0.022-0.069-0.022-0.052-0.01+1.678-0.035-0.017-0.005-0.012-0.005-0.044-0.013-0.024-0.008-0.015-0.35-0.008-0.035-0.024-0.004-0.005-0.07-0.036-0.053-0.035-0.156-0.17</f>
        <v>3.3190000000000022</v>
      </c>
    </row>
    <row r="1643" spans="1:5" x14ac:dyDescent="0.3">
      <c r="A1643" s="10">
        <v>114</v>
      </c>
      <c r="B1643" s="10">
        <v>6</v>
      </c>
      <c r="C1643" s="13" t="s">
        <v>26</v>
      </c>
      <c r="D1643" s="10" t="s">
        <v>2</v>
      </c>
      <c r="E1643" s="15">
        <f>0.18+0.19</f>
        <v>0.37</v>
      </c>
    </row>
    <row r="1644" spans="1:5" x14ac:dyDescent="0.3">
      <c r="A1644" s="10">
        <v>114</v>
      </c>
      <c r="B1644" s="10">
        <v>6</v>
      </c>
      <c r="C1644" s="10">
        <v>45</v>
      </c>
      <c r="D1644" s="10" t="s">
        <v>1</v>
      </c>
      <c r="E1644" s="15">
        <f>1.518+0.13-0.319+1.255-0.027</f>
        <v>2.5569999999999999</v>
      </c>
    </row>
    <row r="1645" spans="1:5" x14ac:dyDescent="0.3">
      <c r="A1645" s="12">
        <v>114</v>
      </c>
      <c r="B1645" s="12">
        <v>6</v>
      </c>
      <c r="C1645" s="12" t="s">
        <v>35</v>
      </c>
      <c r="D1645" s="8" t="s">
        <v>32</v>
      </c>
      <c r="E1645" s="15">
        <v>2</v>
      </c>
    </row>
    <row r="1646" spans="1:5" x14ac:dyDescent="0.3">
      <c r="A1646" s="10">
        <v>114</v>
      </c>
      <c r="B1646" s="10">
        <v>7</v>
      </c>
      <c r="C1646" s="10" t="s">
        <v>58</v>
      </c>
      <c r="D1646" s="10" t="s">
        <v>7</v>
      </c>
      <c r="E1646" s="15">
        <v>0.113</v>
      </c>
    </row>
    <row r="1647" spans="1:5" x14ac:dyDescent="0.3">
      <c r="A1647" s="10">
        <v>114</v>
      </c>
      <c r="B1647" s="10">
        <v>7</v>
      </c>
      <c r="C1647" s="10">
        <v>20</v>
      </c>
      <c r="D1647" s="10" t="s">
        <v>1</v>
      </c>
      <c r="E1647" s="15">
        <f>5.19+2.19+0.8+5.1+0.198-0.15+0.183+0.17-0.04+0.068-0.02-0.06+0.087-6.744-0.059-0.048-0.028-1.09-0.165-0.114-0.04-0.219-0.04-0.78-0.003-3.7-0.066-0.354</f>
        <v>0.26600000000000079</v>
      </c>
    </row>
    <row r="1648" spans="1:5" x14ac:dyDescent="0.3">
      <c r="A1648" s="10">
        <v>114</v>
      </c>
      <c r="B1648" s="10">
        <v>7</v>
      </c>
      <c r="C1648" s="10">
        <v>20</v>
      </c>
      <c r="D1648" s="10" t="s">
        <v>1</v>
      </c>
      <c r="E1648" s="15">
        <f>0.045+0.78+0.205+3.7-0.021-0.053-0.04+0.066-0.021-0.069-0.046-0.04+0.201-0.036-0.065+0.256-0.03-0.06-0.178-0.011-0.062-0.021-0.216-0.008-0.013-0.177-0.012-0.013-0.015-0.06-0.044-0.215-0.009+0.354</f>
        <v>4.072000000000001</v>
      </c>
    </row>
    <row r="1649" spans="1:5" x14ac:dyDescent="0.3">
      <c r="A1649" s="10">
        <v>114</v>
      </c>
      <c r="B1649" s="10">
        <v>7</v>
      </c>
      <c r="C1649" s="10">
        <v>45</v>
      </c>
      <c r="D1649" s="10" t="s">
        <v>1</v>
      </c>
      <c r="E1649" s="15">
        <f>1.69+0.075-0.338-0.2</f>
        <v>1.2269999999999999</v>
      </c>
    </row>
    <row r="1650" spans="1:5" x14ac:dyDescent="0.3">
      <c r="A1650" s="10">
        <v>114</v>
      </c>
      <c r="B1650" s="10">
        <v>7</v>
      </c>
      <c r="C1650" s="10" t="s">
        <v>14</v>
      </c>
      <c r="D1650" s="10" t="s">
        <v>18</v>
      </c>
      <c r="E1650" s="15">
        <f>1.886-0.77-0.2-0.036</f>
        <v>0.87999999999999989</v>
      </c>
    </row>
    <row r="1651" spans="1:5" x14ac:dyDescent="0.3">
      <c r="A1651" s="8">
        <v>114</v>
      </c>
      <c r="B1651" s="8">
        <v>7</v>
      </c>
      <c r="C1651" s="8" t="s">
        <v>27</v>
      </c>
      <c r="D1651" s="8" t="s">
        <v>38</v>
      </c>
      <c r="E1651" s="9">
        <v>0.28699999999999998</v>
      </c>
    </row>
    <row r="1652" spans="1:5" x14ac:dyDescent="0.3">
      <c r="A1652" s="10">
        <v>114</v>
      </c>
      <c r="B1652" s="10">
        <v>7.5</v>
      </c>
      <c r="C1652" s="10" t="s">
        <v>28</v>
      </c>
      <c r="D1652" s="10" t="s">
        <v>1</v>
      </c>
      <c r="E1652" s="15">
        <f>2.84+2.645-0.063</f>
        <v>5.4219999999999997</v>
      </c>
    </row>
    <row r="1653" spans="1:5" x14ac:dyDescent="0.3">
      <c r="A1653" s="10">
        <v>114</v>
      </c>
      <c r="B1653" s="10">
        <v>8</v>
      </c>
      <c r="C1653" s="10">
        <v>20</v>
      </c>
      <c r="D1653" s="10" t="s">
        <v>1</v>
      </c>
      <c r="E1653" s="15">
        <f>1.97+0.294-0.498-0.045-0.579-0.045-0.195-0.19-0.08+1.639-0.051-0.067-0.045-0.067-0.058-0.015-0.189-0.234-0.099+4.696+4.745+4.715-0.115-4.715-4.745-4.53-0.68-0.37-0.117-0.025-0.034</f>
        <v>0.2709999999999998</v>
      </c>
    </row>
    <row r="1654" spans="1:5" x14ac:dyDescent="0.3">
      <c r="A1654" s="10">
        <v>114</v>
      </c>
      <c r="B1654" s="10">
        <v>8</v>
      </c>
      <c r="C1654" s="10">
        <v>20</v>
      </c>
      <c r="D1654" s="10" t="s">
        <v>1</v>
      </c>
      <c r="E1654" s="15">
        <f>1.035-0.046+4.715+4.745+4.53+0.68+0.37+0.208+0.117-0.047+0.47-0.011-0.141-0.121-0.047-0.024-0.009-0.084-0.109-0.013-0.232-0.013-0.008-0.099-0.024-0.235-0.017-0.07-0.007-0.247-0.047</f>
        <v>15.218999999999999</v>
      </c>
    </row>
    <row r="1655" spans="1:5" x14ac:dyDescent="0.3">
      <c r="A1655" s="12">
        <v>114</v>
      </c>
      <c r="B1655" s="12">
        <v>8</v>
      </c>
      <c r="C1655" s="12">
        <v>20</v>
      </c>
      <c r="D1655" s="8" t="s">
        <v>1</v>
      </c>
      <c r="E1655" s="15">
        <v>1.946</v>
      </c>
    </row>
    <row r="1656" spans="1:5" x14ac:dyDescent="0.3">
      <c r="A1656" s="10">
        <v>114</v>
      </c>
      <c r="B1656" s="10">
        <v>8</v>
      </c>
      <c r="C1656" s="10" t="s">
        <v>39</v>
      </c>
      <c r="D1656" s="10" t="s">
        <v>199</v>
      </c>
      <c r="E1656" s="15">
        <v>0.20599999999999999</v>
      </c>
    </row>
    <row r="1657" spans="1:5" x14ac:dyDescent="0.3">
      <c r="A1657" s="8">
        <v>114</v>
      </c>
      <c r="B1657" s="8">
        <v>8</v>
      </c>
      <c r="C1657" s="8" t="s">
        <v>12</v>
      </c>
      <c r="D1657" s="8" t="s">
        <v>32</v>
      </c>
      <c r="E1657" s="9">
        <f>1.052-0.221+0.413</f>
        <v>1.244</v>
      </c>
    </row>
    <row r="1658" spans="1:5" x14ac:dyDescent="0.3">
      <c r="A1658" s="12">
        <v>114</v>
      </c>
      <c r="B1658" s="12">
        <v>8</v>
      </c>
      <c r="C1658" s="12" t="s">
        <v>12</v>
      </c>
      <c r="D1658" s="8" t="s">
        <v>32</v>
      </c>
      <c r="E1658" s="15">
        <f>0.826-0.413</f>
        <v>0.41299999999999998</v>
      </c>
    </row>
    <row r="1659" spans="1:5" x14ac:dyDescent="0.3">
      <c r="A1659" s="10">
        <v>114</v>
      </c>
      <c r="B1659" s="10">
        <v>8</v>
      </c>
      <c r="C1659" s="10" t="s">
        <v>26</v>
      </c>
      <c r="D1659" s="10" t="s">
        <v>1</v>
      </c>
      <c r="E1659" s="15">
        <f>4.8+2.86-0.206+0.385-0.013-0.013-0.006-0.038-0.024-0.211-0.024-0.008-0.58-0.072-0.025-0.012-0.024-0.058-0.038-0.01-0.035-0.036-0.104-0.017-0.015-0.047-0.172-0.115-0.035-0.025-0.414-0.092-0.033-0.052-0.133-0.075-0.071-0.206-0.067-0.07-0.057-0.07-0.059-0.282-0.047-0.008-0.138-0.058-0.029-0.037-0.069-0.071-0.139-0.21-0.083-0.023-0.01-0.024-0.01-0.008-0.047-0.024-0.059-0.069-0.036-0.041-0.024-0.206-0.034</f>
        <v>2.8969999999999989</v>
      </c>
    </row>
    <row r="1660" spans="1:5" x14ac:dyDescent="0.3">
      <c r="A1660" s="10">
        <v>114</v>
      </c>
      <c r="B1660" s="10">
        <v>8</v>
      </c>
      <c r="C1660" s="10" t="s">
        <v>52</v>
      </c>
      <c r="D1660" s="10" t="s">
        <v>1</v>
      </c>
      <c r="E1660" s="15">
        <f>0.425-0.108</f>
        <v>0.317</v>
      </c>
    </row>
    <row r="1661" spans="1:5" x14ac:dyDescent="0.3">
      <c r="A1661" s="10">
        <v>114</v>
      </c>
      <c r="B1661" s="10">
        <v>8</v>
      </c>
      <c r="C1661" s="10">
        <v>45</v>
      </c>
      <c r="D1661" s="10" t="s">
        <v>1</v>
      </c>
      <c r="E1661" s="15">
        <f>5.109+0.117+0.024-0.042-0.024-0.173-0.039-0.045-0.173-0.065-0.063-4.507-0.076</f>
        <v>4.3000000000000663E-2</v>
      </c>
    </row>
    <row r="1662" spans="1:5" x14ac:dyDescent="0.3">
      <c r="A1662" s="10">
        <v>114</v>
      </c>
      <c r="B1662" s="10">
        <v>8</v>
      </c>
      <c r="C1662" s="10">
        <v>45</v>
      </c>
      <c r="D1662" s="10" t="s">
        <v>1</v>
      </c>
      <c r="E1662" s="15">
        <f>4.507-0.304-0.151-0.15-0.301-0.301-0.754-0.155-0.087-0.151-0.028-0.04-0.3-0.087-0.151-0.108-0.51-0.451-0.154-0.13</f>
        <v>0.1939999999999994</v>
      </c>
    </row>
    <row r="1663" spans="1:5" x14ac:dyDescent="0.3">
      <c r="A1663" s="12">
        <v>114</v>
      </c>
      <c r="B1663" s="12">
        <v>8</v>
      </c>
      <c r="C1663" s="12" t="s">
        <v>35</v>
      </c>
      <c r="D1663" s="8" t="s">
        <v>32</v>
      </c>
      <c r="E1663" s="15">
        <v>2</v>
      </c>
    </row>
    <row r="1664" spans="1:5" x14ac:dyDescent="0.3">
      <c r="A1664" s="8">
        <v>114</v>
      </c>
      <c r="B1664" s="8">
        <v>8</v>
      </c>
      <c r="C1664" s="10" t="s">
        <v>37</v>
      </c>
      <c r="D1664" s="10" t="s">
        <v>143</v>
      </c>
      <c r="E1664" s="9">
        <f>0.222-0.01+0.951-0.008-0.023-0.02-0.012-0.007-0.067</f>
        <v>1.0260000000000002</v>
      </c>
    </row>
    <row r="1665" spans="1:5" x14ac:dyDescent="0.3">
      <c r="A1665" s="10">
        <v>114</v>
      </c>
      <c r="B1665" s="10">
        <v>8</v>
      </c>
      <c r="C1665" s="10" t="s">
        <v>43</v>
      </c>
      <c r="D1665" s="10" t="s">
        <v>1</v>
      </c>
      <c r="E1665" s="15">
        <v>1.53</v>
      </c>
    </row>
    <row r="1666" spans="1:5" x14ac:dyDescent="0.3">
      <c r="A1666" s="10">
        <v>114</v>
      </c>
      <c r="B1666" s="10">
        <v>8</v>
      </c>
      <c r="C1666" s="10" t="s">
        <v>29</v>
      </c>
      <c r="D1666" s="10" t="s">
        <v>3</v>
      </c>
      <c r="E1666" s="15">
        <f>1.7+3.55+0.12-1.385-0.25-0.132-0.131-0.26-0.01</f>
        <v>3.2020000000000008</v>
      </c>
    </row>
    <row r="1667" spans="1:5" x14ac:dyDescent="0.3">
      <c r="A1667" s="8">
        <v>114</v>
      </c>
      <c r="B1667" s="8">
        <v>9</v>
      </c>
      <c r="C1667" s="13">
        <v>20</v>
      </c>
      <c r="D1667" s="8" t="s">
        <v>1</v>
      </c>
      <c r="E1667" s="9">
        <f>0.008+0.047-0.037+1.515-0.011-0.012-0.01-0.099-0.274-0.061+0.247-0.247+0.64-0.009+0.24-0.073-0.45-1.066-0.24-0.114+0.048-0.031</f>
        <v>1.1000000000000537E-2</v>
      </c>
    </row>
    <row r="1668" spans="1:5" x14ac:dyDescent="0.3">
      <c r="A1668" s="10">
        <v>114</v>
      </c>
      <c r="B1668" s="10">
        <v>9</v>
      </c>
      <c r="C1668" s="10">
        <v>20</v>
      </c>
      <c r="D1668" s="10" t="s">
        <v>1</v>
      </c>
      <c r="E1668" s="15">
        <f>0.45+1.066+0.007-0.792-0.215+0.24+0.114-0.052-0.063-0.039-0.013-0.188-0.035-0.025-0.018-0.008-0.014-0.025-0.073-0.048-0.05</f>
        <v>0.21899999999999981</v>
      </c>
    </row>
    <row r="1669" spans="1:5" x14ac:dyDescent="0.3">
      <c r="A1669" s="10">
        <v>114</v>
      </c>
      <c r="B1669" s="10">
        <v>9</v>
      </c>
      <c r="C1669" s="10" t="s">
        <v>26</v>
      </c>
      <c r="D1669" s="10" t="s">
        <v>1</v>
      </c>
      <c r="E1669" s="15">
        <f>4.76+5.28+2.505+1.09+0.1-0.025-0.025-0.051-1.012-0.025-1.018-0.099-0.251-0.025-0.037-0.025-0.121-0.006-0.06-0.014-0.508-0.323-0.006-0.05</f>
        <v>10.053999999999991</v>
      </c>
    </row>
    <row r="1670" spans="1:5" x14ac:dyDescent="0.3">
      <c r="A1670" s="10">
        <v>114</v>
      </c>
      <c r="B1670" s="10">
        <v>9</v>
      </c>
      <c r="C1670" s="10">
        <v>45</v>
      </c>
      <c r="D1670" s="10" t="s">
        <v>1</v>
      </c>
      <c r="E1670" s="15">
        <v>1.5049999999999999</v>
      </c>
    </row>
    <row r="1671" spans="1:5" x14ac:dyDescent="0.3">
      <c r="A1671" s="10">
        <v>114</v>
      </c>
      <c r="B1671" s="10">
        <v>10</v>
      </c>
      <c r="C1671" s="10">
        <v>20</v>
      </c>
      <c r="D1671" s="10" t="s">
        <v>1</v>
      </c>
      <c r="E1671" s="15">
        <f>2.542-0.185-0.841-0.047-0.033-0.271+0.004-0.022-0.032+1.355-0.295-0.066-0.14-0.148-0.022-1.145+0.102-0.102-0.027-0.014+2.605-0.014-0.07-0.008-0.029+0.498-0.005-0.109-0.033-0.028-0.814-0.015-0.25-0.108+3.446-0.055+4.58-0.082-0.055-3.16-4.58-1.58-0.222-0.032-0.284-0.042</f>
        <v>0.1669999999999999</v>
      </c>
    </row>
    <row r="1672" spans="1:5" x14ac:dyDescent="0.3">
      <c r="A1672" s="10">
        <v>114</v>
      </c>
      <c r="B1672" s="10">
        <v>10</v>
      </c>
      <c r="C1672" s="10">
        <v>20</v>
      </c>
      <c r="D1672" s="10" t="s">
        <v>1</v>
      </c>
      <c r="E1672" s="15">
        <f>3.16+4.58-0.082+1.58-0.198+0.222+0.284-0.015-0.014-0.108-0.273-0.042-0.037-0.042+0.017-0.029-1.09-0.021-0.109-0.056-1.077-0.039+0.042-0.032-0.015-0.082-0.038-0.149-0.28-0.017-0.012-0.029-0.055</f>
        <v>5.9439999999999991</v>
      </c>
    </row>
    <row r="1673" spans="1:5" x14ac:dyDescent="0.3">
      <c r="A1673" s="10">
        <v>114</v>
      </c>
      <c r="B1673" s="10">
        <v>10</v>
      </c>
      <c r="C1673" s="10" t="s">
        <v>39</v>
      </c>
      <c r="D1673" s="10" t="s">
        <v>1</v>
      </c>
      <c r="E1673" s="15">
        <f>1.702-0.054-0.059</f>
        <v>1.589</v>
      </c>
    </row>
    <row r="1674" spans="1:5" x14ac:dyDescent="0.3">
      <c r="A1674" s="8">
        <v>114</v>
      </c>
      <c r="B1674" s="8">
        <v>10</v>
      </c>
      <c r="C1674" s="8" t="s">
        <v>12</v>
      </c>
      <c r="D1674" s="8" t="s">
        <v>32</v>
      </c>
      <c r="E1674" s="9">
        <f>4.323+5.196+0.76</f>
        <v>10.279</v>
      </c>
    </row>
    <row r="1675" spans="1:5" x14ac:dyDescent="0.3">
      <c r="A1675" s="10">
        <v>114</v>
      </c>
      <c r="B1675" s="10">
        <v>10</v>
      </c>
      <c r="C1675" s="10" t="s">
        <v>26</v>
      </c>
      <c r="D1675" s="10" t="s">
        <v>1</v>
      </c>
      <c r="E1675" s="15">
        <f>0.62+2.43+1.22+1.046-0.203-0.029-0.277-0.028-0.082-0.54+0.29-0.095-0.647-0.26-0.028-0.019-0.029-0.056-0.024-0.015-0.021-0.239-1.08-0.055-0.147-0.047-0.028-0.554-0.055-0.029-0.162-0.009-0.007+2.516-0.045-0.054-0.108-0.029-0.015-0.137-0.043-0.015-0.159-0.108-0.081-0.028-0.211+2.974+0.981-0.046-0.015-0.079-0.042-0.264-0.108</f>
        <v>5.7250000000000023</v>
      </c>
    </row>
    <row r="1676" spans="1:5" x14ac:dyDescent="0.3">
      <c r="A1676" s="10">
        <v>114</v>
      </c>
      <c r="B1676" s="10">
        <v>10</v>
      </c>
      <c r="C1676" s="10" t="s">
        <v>26</v>
      </c>
      <c r="D1676" s="10" t="s">
        <v>46</v>
      </c>
      <c r="E1676" s="15">
        <f>5-2.46</f>
        <v>2.54</v>
      </c>
    </row>
    <row r="1677" spans="1:5" x14ac:dyDescent="0.3">
      <c r="A1677" s="10">
        <v>114.3</v>
      </c>
      <c r="B1677" s="10">
        <v>10</v>
      </c>
      <c r="C1677" s="10" t="s">
        <v>21</v>
      </c>
      <c r="D1677" s="10" t="s">
        <v>64</v>
      </c>
      <c r="E1677" s="15">
        <f>2.17+0.08-0.008-0.16</f>
        <v>2.0819999999999999</v>
      </c>
    </row>
    <row r="1678" spans="1:5" x14ac:dyDescent="0.3">
      <c r="A1678" s="10">
        <v>114</v>
      </c>
      <c r="B1678" s="10">
        <v>10</v>
      </c>
      <c r="C1678" s="10">
        <v>35</v>
      </c>
      <c r="D1678" s="10" t="s">
        <v>1</v>
      </c>
      <c r="E1678" s="15">
        <f>2.46+1.92-0.158-0.826-0.665-1.643</f>
        <v>1.0879999999999994</v>
      </c>
    </row>
    <row r="1679" spans="1:5" x14ac:dyDescent="0.3">
      <c r="A1679" s="10">
        <v>114</v>
      </c>
      <c r="B1679" s="10">
        <v>10</v>
      </c>
      <c r="C1679" s="10" t="s">
        <v>28</v>
      </c>
      <c r="D1679" s="10" t="s">
        <v>1</v>
      </c>
      <c r="E1679" s="15">
        <f>4.81-0.054-0.054-0.028-0.033</f>
        <v>4.6409999999999991</v>
      </c>
    </row>
    <row r="1680" spans="1:5" x14ac:dyDescent="0.3">
      <c r="A1680" s="8">
        <v>114</v>
      </c>
      <c r="B1680" s="8">
        <v>10</v>
      </c>
      <c r="C1680" s="8" t="s">
        <v>30</v>
      </c>
      <c r="D1680" s="8" t="s">
        <v>1</v>
      </c>
      <c r="E1680" s="9">
        <v>5</v>
      </c>
    </row>
    <row r="1681" spans="1:5" x14ac:dyDescent="0.3">
      <c r="A1681" s="10">
        <v>114</v>
      </c>
      <c r="B1681" s="10">
        <v>11</v>
      </c>
      <c r="C1681" s="10" t="s">
        <v>26</v>
      </c>
      <c r="D1681" s="10" t="s">
        <v>1</v>
      </c>
      <c r="E1681" s="15">
        <f>4.862+1.224+0.716-0.066-0.139</f>
        <v>6.5970000000000004</v>
      </c>
    </row>
    <row r="1682" spans="1:5" x14ac:dyDescent="0.3">
      <c r="A1682" s="10">
        <v>114</v>
      </c>
      <c r="B1682" s="10">
        <v>11</v>
      </c>
      <c r="C1682" s="10" t="s">
        <v>109</v>
      </c>
      <c r="D1682" s="10" t="s">
        <v>1</v>
      </c>
      <c r="E1682" s="15">
        <f>4.89+0.88+0.265</f>
        <v>6.0349999999999993</v>
      </c>
    </row>
    <row r="1683" spans="1:5" x14ac:dyDescent="0.3">
      <c r="A1683" s="10">
        <v>114</v>
      </c>
      <c r="B1683" s="10">
        <v>11</v>
      </c>
      <c r="C1683" s="10">
        <v>45</v>
      </c>
      <c r="D1683" s="10" t="s">
        <v>1</v>
      </c>
      <c r="E1683" s="15">
        <f>2.1-0.031+3.11+1.08-0.799-0.059-3.11-1.585-0.009-0.256</f>
        <v>0.44099999999999995</v>
      </c>
    </row>
    <row r="1684" spans="1:5" x14ac:dyDescent="0.3">
      <c r="A1684" s="10">
        <v>114</v>
      </c>
      <c r="B1684" s="10">
        <v>11</v>
      </c>
      <c r="C1684" s="10">
        <v>45</v>
      </c>
      <c r="D1684" s="10" t="s">
        <v>1</v>
      </c>
      <c r="E1684" s="15">
        <f>3.11+0.256-0.117-0.03-1.405</f>
        <v>1.8139999999999998</v>
      </c>
    </row>
    <row r="1685" spans="1:5" x14ac:dyDescent="0.3">
      <c r="A1685" s="10">
        <v>114</v>
      </c>
      <c r="B1685" s="10">
        <v>12</v>
      </c>
      <c r="C1685" s="10">
        <v>20</v>
      </c>
      <c r="D1685" s="10" t="s">
        <v>1</v>
      </c>
      <c r="E1685" s="15">
        <f>4.531-0.124-0.133-0.023-0.014-0.017+1.16+1.556-0.017-0.047-0.021-0.069-0.047-0.011-0.017-0.011-0.017-0.265-0.094-0.268-0.236-0.245-0.01-0.016-0.011-0.048-0.011-0.063-3.49-1.02-0.641-0.056-0.153</f>
        <v>5.1999999999999685E-2</v>
      </c>
    </row>
    <row r="1686" spans="1:5" x14ac:dyDescent="0.3">
      <c r="A1686" s="10">
        <v>114</v>
      </c>
      <c r="B1686" s="10">
        <v>12</v>
      </c>
      <c r="C1686" s="10">
        <v>20</v>
      </c>
      <c r="D1686" s="10" t="s">
        <v>1</v>
      </c>
      <c r="E1686" s="15">
        <f>0.66+0.255-0.033-0.039-0.155-0.012-0.157-0.11+4.46-0.017+0.476-0.094-0.024-0.288-0.064-0.03</f>
        <v>4.8279999999999985</v>
      </c>
    </row>
    <row r="1687" spans="1:5" x14ac:dyDescent="0.3">
      <c r="A1687" s="10">
        <v>114</v>
      </c>
      <c r="B1687" s="10">
        <v>12</v>
      </c>
      <c r="C1687" s="10" t="s">
        <v>39</v>
      </c>
      <c r="D1687" s="10" t="s">
        <v>1</v>
      </c>
      <c r="E1687" s="15">
        <f>0.926+0.492</f>
        <v>1.4180000000000001</v>
      </c>
    </row>
    <row r="1688" spans="1:5" x14ac:dyDescent="0.3">
      <c r="A1688" s="10">
        <v>114</v>
      </c>
      <c r="B1688" s="10">
        <v>12</v>
      </c>
      <c r="C1688" s="10">
        <v>20</v>
      </c>
      <c r="D1688" s="10" t="s">
        <v>110</v>
      </c>
      <c r="E1688" s="15">
        <f>1.18-0.187</f>
        <v>0.99299999999999988</v>
      </c>
    </row>
    <row r="1689" spans="1:5" x14ac:dyDescent="0.3">
      <c r="A1689" s="10">
        <v>114</v>
      </c>
      <c r="B1689" s="10">
        <v>12</v>
      </c>
      <c r="C1689" s="10" t="s">
        <v>26</v>
      </c>
      <c r="D1689" s="10" t="s">
        <v>1</v>
      </c>
      <c r="E1689" s="15">
        <f>2.93+0.27+2.67+0.475-0.267+0.79-0.021+7.202-0.027-0.034-0.064-0.115-0.059-0.018-0.26-0.227-0.049-0.059-0.118-0.537-0.202-0.02-0.084-0.059-0.272-0.145-0.018-0.009-0.097-0.253-0.097-0.104-0.018-0.18-5.914-0.075-0.011-0.034-0.037-0.066-0.034-0.033-0.018-0.054-0.122</f>
        <v>4.5260000000000016</v>
      </c>
    </row>
    <row r="1690" spans="1:5" x14ac:dyDescent="0.3">
      <c r="A1690" s="10">
        <v>114</v>
      </c>
      <c r="B1690" s="10">
        <v>12</v>
      </c>
      <c r="C1690" s="10" t="s">
        <v>26</v>
      </c>
      <c r="D1690" s="10" t="s">
        <v>64</v>
      </c>
      <c r="E1690" s="15">
        <f>3.052+0.94-0.033+0.686-0.03-0.076-0.125-0.11-0.013-0.011-0.081-0.038-0.032-0.093-0.063-0.037-0.269-0.044-0.134-0.064-0.032-0.017-0.026-0.094-0.048-0.033-0.041-0.021</f>
        <v>3.113</v>
      </c>
    </row>
    <row r="1691" spans="1:5" x14ac:dyDescent="0.3">
      <c r="A1691" s="10">
        <v>114</v>
      </c>
      <c r="B1691" s="10">
        <v>12</v>
      </c>
      <c r="C1691" s="10" t="s">
        <v>37</v>
      </c>
      <c r="D1691" s="10" t="s">
        <v>1</v>
      </c>
      <c r="E1691" s="15">
        <f>0.22+6.56-0.021-1.037-0.066-0.018-0.069-0.014-0.012-0.034</f>
        <v>5.5090000000000003</v>
      </c>
    </row>
    <row r="1692" spans="1:5" x14ac:dyDescent="0.3">
      <c r="A1692" s="10">
        <v>114</v>
      </c>
      <c r="B1692" s="10">
        <v>12</v>
      </c>
      <c r="C1692" s="10" t="s">
        <v>28</v>
      </c>
      <c r="D1692" s="10" t="s">
        <v>1</v>
      </c>
      <c r="E1692" s="15">
        <f>3.427+0.584+0.187-0.252-0.685-0.403-0.033-0.039-0.113-0.173-0.228-0.228-0.014-0.014-0.014-0.28-0.156</f>
        <v>1.5660000000000007</v>
      </c>
    </row>
    <row r="1693" spans="1:5" x14ac:dyDescent="0.3">
      <c r="A1693" s="10">
        <v>114</v>
      </c>
      <c r="B1693" s="10">
        <v>12</v>
      </c>
      <c r="C1693" s="10" t="s">
        <v>154</v>
      </c>
      <c r="D1693" s="10" t="s">
        <v>1</v>
      </c>
      <c r="E1693" s="15">
        <v>0.13100000000000001</v>
      </c>
    </row>
    <row r="1694" spans="1:5" x14ac:dyDescent="0.3">
      <c r="A1694" s="10">
        <v>114</v>
      </c>
      <c r="B1694" s="10">
        <v>12</v>
      </c>
      <c r="C1694" s="10" t="s">
        <v>30</v>
      </c>
      <c r="D1694" s="10" t="s">
        <v>1</v>
      </c>
      <c r="E1694" s="15">
        <f>2.1+3.19-0.318-0.045-0.155-0.118-0.017-0.289-0.064</f>
        <v>4.2839999999999998</v>
      </c>
    </row>
    <row r="1695" spans="1:5" x14ac:dyDescent="0.3">
      <c r="A1695" s="10">
        <v>114</v>
      </c>
      <c r="B1695" s="10">
        <v>14</v>
      </c>
      <c r="C1695" s="10">
        <v>20</v>
      </c>
      <c r="D1695" s="10" t="s">
        <v>1</v>
      </c>
      <c r="E1695" s="15">
        <f>0.21+1.1+4.03-0.021+2.487+0.251-0.036-0.023-0.124-0.036-0.809-0.543-0.02-0.107-0.733-0.006-0.01-0.08-0.089-0.128-0.427-0.027-0.089-0.158-0.037-0.072-0.013-0.089-0.546-0.162-0.064-0.045-0.353-0.037-0.072</f>
        <v>3.1220000000000008</v>
      </c>
    </row>
    <row r="1696" spans="1:5" x14ac:dyDescent="0.3">
      <c r="A1696" s="10">
        <v>114</v>
      </c>
      <c r="B1696" s="10">
        <v>14</v>
      </c>
      <c r="C1696" s="10" t="s">
        <v>26</v>
      </c>
      <c r="D1696" s="10" t="s">
        <v>1</v>
      </c>
      <c r="E1696" s="15">
        <f>2.202+0.235-0.275-0.006-0.015-0.072-0.071+2.05-0.276-0.056-0.019-0.041-0.037-0.262+0.42-0.037+0.248-0.035-0.037-0.107-0.096-0.008-0.037-0.037-0.093-0.072-0.071-0.037+2.168-0.011+0.978-0.012</f>
        <v>6.4809999999999999</v>
      </c>
    </row>
    <row r="1697" spans="1:5" x14ac:dyDescent="0.3">
      <c r="A1697" s="10">
        <v>114</v>
      </c>
      <c r="B1697" s="10">
        <v>14</v>
      </c>
      <c r="C1697" s="10" t="s">
        <v>26</v>
      </c>
      <c r="D1697" s="10" t="s">
        <v>46</v>
      </c>
      <c r="E1697" s="15">
        <v>0.24399999999999999</v>
      </c>
    </row>
    <row r="1698" spans="1:5" x14ac:dyDescent="0.3">
      <c r="A1698" s="10">
        <v>114</v>
      </c>
      <c r="B1698" s="10">
        <v>14</v>
      </c>
      <c r="C1698" s="10" t="s">
        <v>108</v>
      </c>
      <c r="D1698" s="10" t="s">
        <v>1</v>
      </c>
      <c r="E1698" s="15">
        <v>0.42499999999999999</v>
      </c>
    </row>
    <row r="1699" spans="1:5" x14ac:dyDescent="0.3">
      <c r="A1699" s="10">
        <v>114</v>
      </c>
      <c r="B1699" s="10">
        <v>14</v>
      </c>
      <c r="C1699" s="10">
        <v>45</v>
      </c>
      <c r="D1699" s="10" t="s">
        <v>1</v>
      </c>
      <c r="E1699" s="15">
        <f>5.565-1.325-0.164+0.81-0.81-0.055-1.073-0.125-0.56-1.87-0.143</f>
        <v>0.25000000000000067</v>
      </c>
    </row>
    <row r="1700" spans="1:5" x14ac:dyDescent="0.3">
      <c r="A1700" s="10">
        <v>114</v>
      </c>
      <c r="B1700" s="10">
        <v>14</v>
      </c>
      <c r="C1700" s="10">
        <v>45</v>
      </c>
      <c r="D1700" s="10" t="s">
        <v>1</v>
      </c>
      <c r="E1700" s="15">
        <f>6.962-1.615-0.108+0.251-0.683-0.107</f>
        <v>4.7</v>
      </c>
    </row>
    <row r="1701" spans="1:5" x14ac:dyDescent="0.3">
      <c r="A1701" s="10">
        <v>114</v>
      </c>
      <c r="B1701" s="10">
        <v>14</v>
      </c>
      <c r="C1701" s="10" t="s">
        <v>28</v>
      </c>
      <c r="D1701" s="10" t="s">
        <v>1</v>
      </c>
      <c r="E1701" s="15">
        <f>2.498+1.376-0.83+0.21-0.071-0.107-0.557-0.566-0.277-0.266-0.054+4.755-0.178-0.318-0.321-0.016</f>
        <v>5.2780000000000005</v>
      </c>
    </row>
    <row r="1702" spans="1:5" x14ac:dyDescent="0.3">
      <c r="A1702" s="10">
        <v>114</v>
      </c>
      <c r="B1702" s="10">
        <v>14</v>
      </c>
      <c r="C1702" s="10" t="s">
        <v>30</v>
      </c>
      <c r="D1702" s="10" t="s">
        <v>1</v>
      </c>
      <c r="E1702" s="15">
        <f>2.177+3.458-0.037-0.217-0.033-0.07-0.036</f>
        <v>5.242</v>
      </c>
    </row>
    <row r="1703" spans="1:5" x14ac:dyDescent="0.3">
      <c r="A1703" s="8">
        <v>114</v>
      </c>
      <c r="B1703" s="8">
        <v>16</v>
      </c>
      <c r="C1703" s="8">
        <v>10</v>
      </c>
      <c r="D1703" s="8" t="s">
        <v>1</v>
      </c>
      <c r="E1703" s="9">
        <f>6.176-0.268</f>
        <v>5.9080000000000004</v>
      </c>
    </row>
    <row r="1704" spans="1:5" x14ac:dyDescent="0.3">
      <c r="A1704" s="10">
        <v>114</v>
      </c>
      <c r="B1704" s="10">
        <v>16</v>
      </c>
      <c r="C1704" s="10">
        <v>20</v>
      </c>
      <c r="D1704" s="10" t="s">
        <v>1</v>
      </c>
      <c r="E1704" s="15">
        <f>0.394-0.128-0.066+2.261-0.087+3.446-0.044+1.84+1.616-0.045-0.202-0.275-0.026-1.301-1.82-3.446-0.248-1.722-0.035-0.069+0.217</f>
        <v>0.26000000000000045</v>
      </c>
    </row>
    <row r="1705" spans="1:5" x14ac:dyDescent="0.3">
      <c r="A1705" s="10">
        <v>114</v>
      </c>
      <c r="B1705" s="10">
        <v>16</v>
      </c>
      <c r="C1705" s="10">
        <v>20</v>
      </c>
      <c r="D1705" s="10" t="s">
        <v>1</v>
      </c>
      <c r="E1705" s="15">
        <f>1.301+1.82+3.446+1.722-0.177+0.069-0.031-0.112-0.553-0.039-0.087-0.861-0.045-0.007-0.15-0.032-0.045-0.036-0.087-0.075-0.13-0.024-0.045-0.129+0.498+0.462+0.726-0.02-0.047</f>
        <v>7.3120000000000021</v>
      </c>
    </row>
    <row r="1706" spans="1:5" x14ac:dyDescent="0.3">
      <c r="A1706" s="10">
        <v>114</v>
      </c>
      <c r="B1706" s="10">
        <v>16</v>
      </c>
      <c r="C1706" s="10" t="s">
        <v>26</v>
      </c>
      <c r="D1706" s="10" t="s">
        <v>64</v>
      </c>
      <c r="E1706" s="15">
        <f>2.798+2.832-0.061+1.342-0.275-0.019-0.042-0.121-0.027-0.054-0.254-0.234-0.019-0.057-0.054-0.024-0.042-0.021-0.042-0.121-0.042</f>
        <v>5.4629999999999974</v>
      </c>
    </row>
    <row r="1707" spans="1:5" x14ac:dyDescent="0.3">
      <c r="A1707" s="10">
        <v>114</v>
      </c>
      <c r="B1707" s="10">
        <v>16</v>
      </c>
      <c r="C1707" s="10">
        <v>35</v>
      </c>
      <c r="D1707" s="10" t="s">
        <v>1</v>
      </c>
      <c r="E1707" s="15">
        <f>5.346-0.096-0.556-0.827-0.505-0.273-0.058-0.061-1.887-1.043</f>
        <v>4.0000000000000258E-2</v>
      </c>
    </row>
    <row r="1708" spans="1:5" x14ac:dyDescent="0.3">
      <c r="A1708" s="10">
        <v>114</v>
      </c>
      <c r="B1708" s="10">
        <v>16</v>
      </c>
      <c r="C1708" s="10">
        <v>35</v>
      </c>
      <c r="D1708" s="10" t="s">
        <v>1</v>
      </c>
      <c r="E1708" s="15">
        <f>1.887+1.043-0.143-0.123-0.256</f>
        <v>2.4079999999999995</v>
      </c>
    </row>
    <row r="1709" spans="1:5" x14ac:dyDescent="0.3">
      <c r="A1709" s="10">
        <v>114</v>
      </c>
      <c r="B1709" s="10">
        <v>16</v>
      </c>
      <c r="C1709" s="10">
        <v>45</v>
      </c>
      <c r="D1709" s="10" t="s">
        <v>1</v>
      </c>
      <c r="E1709" s="15">
        <f>5.17+0.11-0.024-0.245-0.071-0.04-0.279-0.274-1.112-3.15-0.234+0.166</f>
        <v>1.7000000000000404E-2</v>
      </c>
    </row>
    <row r="1710" spans="1:5" x14ac:dyDescent="0.3">
      <c r="A1710" s="10">
        <v>114</v>
      </c>
      <c r="B1710" s="10">
        <v>16</v>
      </c>
      <c r="C1710" s="10">
        <v>45</v>
      </c>
      <c r="D1710" s="10" t="s">
        <v>1</v>
      </c>
      <c r="E1710" s="15">
        <f>1.112+3.15+0.234-0.286-0.262-1.01-0.132-0.55-0.557-0.84-0.041-0.047-0.12-0.04-0.061+5.144-0.054-0.026</f>
        <v>5.6140000000000008</v>
      </c>
    </row>
    <row r="1711" spans="1:5" x14ac:dyDescent="0.3">
      <c r="A1711" s="10">
        <v>114</v>
      </c>
      <c r="B1711" s="10">
        <v>16</v>
      </c>
      <c r="C1711" s="10" t="s">
        <v>28</v>
      </c>
      <c r="D1711" s="10" t="s">
        <v>1</v>
      </c>
      <c r="E1711" s="15">
        <f>5.245-1.278-0.317-0.022-1.267</f>
        <v>2.3610000000000002</v>
      </c>
    </row>
    <row r="1712" spans="1:5" x14ac:dyDescent="0.3">
      <c r="A1712" s="10">
        <v>114</v>
      </c>
      <c r="B1712" s="10">
        <v>16</v>
      </c>
      <c r="C1712" s="10" t="s">
        <v>30</v>
      </c>
      <c r="D1712" s="10" t="s">
        <v>1</v>
      </c>
      <c r="E1712" s="15">
        <f>3.222+1.111-0.125-0.221-0.093-0.054-0.21-0.234-0.082-0.258-0.139-0.122-0.265-0.163</f>
        <v>2.3670000000000009</v>
      </c>
    </row>
    <row r="1713" spans="1:5" x14ac:dyDescent="0.3">
      <c r="A1713" s="10">
        <v>114</v>
      </c>
      <c r="B1713" s="10">
        <v>16</v>
      </c>
      <c r="C1713" s="10" t="s">
        <v>31</v>
      </c>
      <c r="D1713" s="10" t="s">
        <v>32</v>
      </c>
      <c r="E1713" s="15">
        <f>2.264-0.256</f>
        <v>2.008</v>
      </c>
    </row>
    <row r="1714" spans="1:5" x14ac:dyDescent="0.3">
      <c r="A1714" s="8">
        <v>114</v>
      </c>
      <c r="B1714" s="8">
        <v>18</v>
      </c>
      <c r="C1714" s="8">
        <v>20</v>
      </c>
      <c r="D1714" s="8" t="s">
        <v>1</v>
      </c>
      <c r="E1714" s="9">
        <v>5</v>
      </c>
    </row>
    <row r="1715" spans="1:5" x14ac:dyDescent="0.3">
      <c r="A1715" s="10">
        <v>114</v>
      </c>
      <c r="B1715" s="10">
        <v>18</v>
      </c>
      <c r="C1715" s="10" t="s">
        <v>26</v>
      </c>
      <c r="D1715" s="10" t="s">
        <v>64</v>
      </c>
      <c r="E1715" s="15">
        <f>2.06+4.925-0.031-0.282-0.028-0.046-0.275-0.088-0.021-0.247-0.175-0.045-1.083-0.14-0.175</f>
        <v>4.3490000000000002</v>
      </c>
    </row>
    <row r="1716" spans="1:5" x14ac:dyDescent="0.3">
      <c r="A1716" s="8">
        <v>114</v>
      </c>
      <c r="B1716" s="8">
        <v>18</v>
      </c>
      <c r="C1716" s="8">
        <v>45</v>
      </c>
      <c r="D1716" s="8" t="s">
        <v>1</v>
      </c>
      <c r="E1716" s="9">
        <v>5</v>
      </c>
    </row>
    <row r="1717" spans="1:5" x14ac:dyDescent="0.3">
      <c r="A1717" s="10">
        <v>114</v>
      </c>
      <c r="B1717" s="10">
        <v>18</v>
      </c>
      <c r="C1717" s="10" t="s">
        <v>28</v>
      </c>
      <c r="D1717" s="10" t="s">
        <v>1</v>
      </c>
      <c r="E1717" s="15">
        <f>2.25-0.398-1.168+2.6+2.645-0.784-0.777-4.22+0.227-0.2+10.425-2-3.645</f>
        <v>4.9550000000000018</v>
      </c>
    </row>
    <row r="1718" spans="1:5" x14ac:dyDescent="0.3">
      <c r="A1718" s="10">
        <v>114</v>
      </c>
      <c r="B1718" s="10">
        <v>18</v>
      </c>
      <c r="C1718" s="10" t="s">
        <v>30</v>
      </c>
      <c r="D1718" s="10" t="s">
        <v>1</v>
      </c>
      <c r="E1718" s="15">
        <f>5.41-0.155-0.836-0.121-0.011-0.278-1.118-0.023-0.112-0.135</f>
        <v>2.6209999999999996</v>
      </c>
    </row>
    <row r="1719" spans="1:5" x14ac:dyDescent="0.3">
      <c r="A1719" s="8">
        <v>114</v>
      </c>
      <c r="B1719" s="8">
        <v>20</v>
      </c>
      <c r="C1719" s="8">
        <v>20</v>
      </c>
      <c r="D1719" s="8" t="s">
        <v>1</v>
      </c>
      <c r="E1719" s="9">
        <v>5</v>
      </c>
    </row>
    <row r="1720" spans="1:5" x14ac:dyDescent="0.3">
      <c r="A1720" s="10">
        <v>114</v>
      </c>
      <c r="B1720" s="10">
        <v>20</v>
      </c>
      <c r="C1720" s="10" t="s">
        <v>26</v>
      </c>
      <c r="D1720" s="10" t="s">
        <v>64</v>
      </c>
      <c r="E1720" s="15">
        <f>4.99-0.242-1.082-0.056-0.184-0.008-0.042-0.368-0.38-0.346-0.124-0.054-0.29</f>
        <v>1.8140000000000005</v>
      </c>
    </row>
    <row r="1721" spans="1:5" x14ac:dyDescent="0.3">
      <c r="A1721" s="8">
        <v>114</v>
      </c>
      <c r="B1721" s="8">
        <v>20</v>
      </c>
      <c r="C1721" s="8">
        <v>35</v>
      </c>
      <c r="D1721" s="8" t="s">
        <v>1</v>
      </c>
      <c r="E1721" s="9">
        <v>5</v>
      </c>
    </row>
    <row r="1722" spans="1:5" x14ac:dyDescent="0.3">
      <c r="A1722" s="10">
        <v>114</v>
      </c>
      <c r="B1722" s="10">
        <v>20</v>
      </c>
      <c r="C1722" s="10">
        <v>45</v>
      </c>
      <c r="D1722" s="10" t="s">
        <v>1</v>
      </c>
      <c r="E1722" s="15">
        <f>2.602-0.699-0.316-0.317-0.295-0.313</f>
        <v>0.66200000000000014</v>
      </c>
    </row>
    <row r="1723" spans="1:5" x14ac:dyDescent="0.3">
      <c r="A1723" s="10">
        <v>114</v>
      </c>
      <c r="B1723" s="10">
        <v>20</v>
      </c>
      <c r="C1723" s="10">
        <v>45</v>
      </c>
      <c r="D1723" s="10" t="s">
        <v>1</v>
      </c>
      <c r="E1723" s="15">
        <f>4.753-0.38+0.274-0.144-0.05-0.024-0.056-3.234+2.199-1.108-0.271+0.077-0.034-0.05-0.022-0.06-0.112-0.146-0.13-0.051-0.097</f>
        <v>1.3340000000000003</v>
      </c>
    </row>
    <row r="1724" spans="1:5" x14ac:dyDescent="0.3">
      <c r="A1724" s="8">
        <v>114</v>
      </c>
      <c r="B1724" s="8">
        <v>20</v>
      </c>
      <c r="C1724" s="8" t="s">
        <v>28</v>
      </c>
      <c r="D1724" s="8" t="s">
        <v>1</v>
      </c>
      <c r="E1724" s="9">
        <f>5.215-0.589-0.096-0.29-0.295-0.296-0.474-0.584-0.279-0.287-1.156-0.292-0.292+0.015-0.147-0.084-0.041</f>
        <v>2.799999999999999E-2</v>
      </c>
    </row>
    <row r="1725" spans="1:5" x14ac:dyDescent="0.3">
      <c r="A1725" s="10">
        <v>114</v>
      </c>
      <c r="B1725" s="10">
        <v>20</v>
      </c>
      <c r="C1725" s="10" t="s">
        <v>28</v>
      </c>
      <c r="D1725" s="10" t="s">
        <v>1</v>
      </c>
      <c r="E1725" s="15">
        <f>1.895+5.285-1.164-0.385-0.073-0.048-0.268</f>
        <v>5.242</v>
      </c>
    </row>
    <row r="1726" spans="1:5" x14ac:dyDescent="0.3">
      <c r="A1726" s="10">
        <v>114</v>
      </c>
      <c r="B1726" s="10">
        <v>20</v>
      </c>
      <c r="C1726" s="10" t="s">
        <v>30</v>
      </c>
      <c r="D1726" s="10" t="s">
        <v>1</v>
      </c>
      <c r="E1726" s="15">
        <f>2.58+2.58+0.43-0.096-0.442-0.049-0.143</f>
        <v>4.8599999999999994</v>
      </c>
    </row>
    <row r="1727" spans="1:5" x14ac:dyDescent="0.3">
      <c r="A1727" s="8">
        <v>114</v>
      </c>
      <c r="B1727" s="8">
        <v>22</v>
      </c>
      <c r="C1727" s="8">
        <v>20</v>
      </c>
      <c r="D1727" s="8" t="s">
        <v>1</v>
      </c>
      <c r="E1727" s="9">
        <v>5</v>
      </c>
    </row>
    <row r="1728" spans="1:5" x14ac:dyDescent="0.3">
      <c r="A1728" s="10">
        <v>114</v>
      </c>
      <c r="B1728" s="10">
        <v>22</v>
      </c>
      <c r="C1728" s="10" t="s">
        <v>26</v>
      </c>
      <c r="D1728" s="10" t="s">
        <v>64</v>
      </c>
      <c r="E1728" s="15">
        <f>4.81-0.098-0.057-0.412-0.105-0.14-0.128-0.116-0.419-0.417-0.053</f>
        <v>2.8649999999999989</v>
      </c>
    </row>
    <row r="1729" spans="1:5" x14ac:dyDescent="0.3">
      <c r="A1729" s="8">
        <v>114</v>
      </c>
      <c r="B1729" s="8">
        <v>22</v>
      </c>
      <c r="C1729" s="8">
        <v>45</v>
      </c>
      <c r="D1729" s="8" t="s">
        <v>1</v>
      </c>
      <c r="E1729" s="9">
        <v>5</v>
      </c>
    </row>
    <row r="1730" spans="1:5" x14ac:dyDescent="0.3">
      <c r="A1730" s="10">
        <v>114</v>
      </c>
      <c r="B1730" s="10">
        <v>22</v>
      </c>
      <c r="C1730" s="10" t="s">
        <v>28</v>
      </c>
      <c r="D1730" s="10" t="s">
        <v>1</v>
      </c>
      <c r="E1730" s="15">
        <f>4.825+2.65+2.64-0.909+0.09-0.051</f>
        <v>9.2449999999999992</v>
      </c>
    </row>
    <row r="1731" spans="1:5" x14ac:dyDescent="0.3">
      <c r="A1731" s="10">
        <v>114</v>
      </c>
      <c r="B1731" s="10">
        <v>22</v>
      </c>
      <c r="C1731" s="10" t="s">
        <v>30</v>
      </c>
      <c r="D1731" s="10" t="s">
        <v>1</v>
      </c>
      <c r="E1731" s="15">
        <f>5.29-0.452-0.105</f>
        <v>4.7329999999999997</v>
      </c>
    </row>
    <row r="1732" spans="1:5" x14ac:dyDescent="0.3">
      <c r="A1732" s="10">
        <v>114</v>
      </c>
      <c r="B1732" s="10">
        <v>22</v>
      </c>
      <c r="C1732" s="10" t="s">
        <v>106</v>
      </c>
      <c r="D1732" s="10" t="s">
        <v>1</v>
      </c>
      <c r="E1732" s="15">
        <f>5.1-0.259-0.03-0.13-4.59</f>
        <v>9.0999999999999304E-2</v>
      </c>
    </row>
    <row r="1733" spans="1:5" x14ac:dyDescent="0.3">
      <c r="A1733" s="10">
        <v>114</v>
      </c>
      <c r="B1733" s="10">
        <v>22</v>
      </c>
      <c r="C1733" s="10" t="s">
        <v>106</v>
      </c>
      <c r="D1733" s="10" t="s">
        <v>1</v>
      </c>
      <c r="E1733" s="15">
        <v>4.59</v>
      </c>
    </row>
    <row r="1734" spans="1:5" x14ac:dyDescent="0.3">
      <c r="A1734" s="8">
        <v>114</v>
      </c>
      <c r="B1734" s="8">
        <v>25</v>
      </c>
      <c r="C1734" s="8">
        <v>20</v>
      </c>
      <c r="D1734" s="8" t="s">
        <v>1</v>
      </c>
      <c r="E1734" s="9">
        <v>5</v>
      </c>
    </row>
    <row r="1735" spans="1:5" x14ac:dyDescent="0.3">
      <c r="A1735" s="8">
        <v>114</v>
      </c>
      <c r="B1735" s="8">
        <v>25</v>
      </c>
      <c r="C1735" s="8" t="s">
        <v>26</v>
      </c>
      <c r="D1735" s="8" t="s">
        <v>64</v>
      </c>
      <c r="E1735" s="9">
        <f>2.48-0.241-0.509+3.78-0.54-1.072-0.123-1.034-0.81-0.052-0.926</f>
        <v>0.95299999999999951</v>
      </c>
    </row>
    <row r="1736" spans="1:5" x14ac:dyDescent="0.3">
      <c r="A1736" s="8">
        <v>114</v>
      </c>
      <c r="B1736" s="8">
        <v>25</v>
      </c>
      <c r="C1736" s="8" t="s">
        <v>26</v>
      </c>
      <c r="D1736" s="8" t="s">
        <v>1</v>
      </c>
      <c r="E1736" s="9">
        <f>0.675-0.348</f>
        <v>0.32700000000000007</v>
      </c>
    </row>
    <row r="1737" spans="1:5" x14ac:dyDescent="0.3">
      <c r="A1737" s="8">
        <v>114</v>
      </c>
      <c r="B1737" s="8">
        <v>25</v>
      </c>
      <c r="C1737" s="8" t="s">
        <v>26</v>
      </c>
      <c r="D1737" s="8" t="s">
        <v>64</v>
      </c>
      <c r="E1737" s="9">
        <f>7-2.48-3.78</f>
        <v>0.73999999999999977</v>
      </c>
    </row>
    <row r="1738" spans="1:5" x14ac:dyDescent="0.3">
      <c r="A1738" s="10">
        <v>114</v>
      </c>
      <c r="B1738" s="10">
        <v>25</v>
      </c>
      <c r="C1738" s="10">
        <v>35</v>
      </c>
      <c r="D1738" s="10" t="s">
        <v>1</v>
      </c>
      <c r="E1738" s="15">
        <f>7.672-2.097-0.653-0.395-1.035-0.171-0.194-0.226-0.071-0.301-0.255</f>
        <v>2.2739999999999991</v>
      </c>
    </row>
    <row r="1739" spans="1:5" x14ac:dyDescent="0.3">
      <c r="A1739" s="10">
        <v>114</v>
      </c>
      <c r="B1739" s="10">
        <v>25</v>
      </c>
      <c r="C1739" s="10">
        <v>45</v>
      </c>
      <c r="D1739" s="10" t="s">
        <v>1</v>
      </c>
      <c r="E1739" s="15">
        <f>4.869+5.19-1.086-0.448+0.358-0.359-0.172-0.051-0.099</f>
        <v>8.202</v>
      </c>
    </row>
    <row r="1740" spans="1:5" x14ac:dyDescent="0.3">
      <c r="A1740" s="10">
        <v>114</v>
      </c>
      <c r="B1740" s="10">
        <v>25</v>
      </c>
      <c r="C1740" s="10" t="s">
        <v>36</v>
      </c>
      <c r="D1740" s="10" t="s">
        <v>1</v>
      </c>
      <c r="E1740" s="15">
        <f>2.86+2.865+4.225-0.17-0.32-2.976</f>
        <v>6.4839999999999991</v>
      </c>
    </row>
    <row r="1741" spans="1:5" x14ac:dyDescent="0.3">
      <c r="A1741" s="10">
        <v>114</v>
      </c>
      <c r="B1741" s="10">
        <v>25</v>
      </c>
      <c r="C1741" s="10" t="s">
        <v>28</v>
      </c>
      <c r="D1741" s="10" t="s">
        <v>1</v>
      </c>
      <c r="E1741" s="15">
        <f>5.675-0.983-0.336-0.333-0.496-0.997-0.057-2.276-0.113+2.56+2.81-0.059</f>
        <v>5.3950000000000005</v>
      </c>
    </row>
    <row r="1742" spans="1:5" x14ac:dyDescent="0.3">
      <c r="A1742" s="10">
        <v>114</v>
      </c>
      <c r="B1742" s="10">
        <v>25</v>
      </c>
      <c r="C1742" s="10" t="s">
        <v>30</v>
      </c>
      <c r="D1742" s="10" t="s">
        <v>1</v>
      </c>
      <c r="E1742" s="15">
        <f>2.615+0.53+2.615-0.058-0.198-0.287</f>
        <v>5.2170000000000005</v>
      </c>
    </row>
    <row r="1743" spans="1:5" x14ac:dyDescent="0.3">
      <c r="A1743" s="8">
        <v>114</v>
      </c>
      <c r="B1743" s="8">
        <v>28</v>
      </c>
      <c r="C1743" s="8">
        <v>20</v>
      </c>
      <c r="D1743" s="8" t="s">
        <v>1</v>
      </c>
      <c r="E1743" s="9">
        <v>5</v>
      </c>
    </row>
    <row r="1744" spans="1:5" x14ac:dyDescent="0.3">
      <c r="A1744" s="10">
        <v>114</v>
      </c>
      <c r="B1744" s="10">
        <v>28</v>
      </c>
      <c r="C1744" s="10" t="s">
        <v>26</v>
      </c>
      <c r="D1744" s="10" t="s">
        <v>64</v>
      </c>
      <c r="E1744" s="15">
        <f>7.22-0.183-0.123-0.063-0.122-0.496-0.243-0.191-0.065-0.47-0.093</f>
        <v>5.1710000000000003</v>
      </c>
    </row>
    <row r="1745" spans="1:5" x14ac:dyDescent="0.3">
      <c r="A1745" s="8">
        <v>114</v>
      </c>
      <c r="B1745" s="8">
        <v>28</v>
      </c>
      <c r="C1745" s="8">
        <v>35</v>
      </c>
      <c r="D1745" s="8" t="s">
        <v>1</v>
      </c>
      <c r="E1745" s="9">
        <v>5</v>
      </c>
    </row>
    <row r="1746" spans="1:5" x14ac:dyDescent="0.3">
      <c r="A1746" s="8">
        <v>114</v>
      </c>
      <c r="B1746" s="8">
        <v>28</v>
      </c>
      <c r="C1746" s="8">
        <v>45</v>
      </c>
      <c r="D1746" s="8" t="s">
        <v>1</v>
      </c>
      <c r="E1746" s="9">
        <v>5</v>
      </c>
    </row>
    <row r="1747" spans="1:5" x14ac:dyDescent="0.3">
      <c r="A1747" s="10">
        <v>114</v>
      </c>
      <c r="B1747" s="10">
        <v>28</v>
      </c>
      <c r="C1747" s="10" t="s">
        <v>36</v>
      </c>
      <c r="D1747" s="10" t="s">
        <v>1</v>
      </c>
      <c r="E1747" s="15">
        <f>19.6-0.459-0.455</f>
        <v>18.686000000000003</v>
      </c>
    </row>
    <row r="1748" spans="1:5" x14ac:dyDescent="0.3">
      <c r="A1748" s="10">
        <v>114</v>
      </c>
      <c r="B1748" s="10">
        <v>28</v>
      </c>
      <c r="C1748" s="10" t="s">
        <v>28</v>
      </c>
      <c r="D1748" s="10" t="s">
        <v>1</v>
      </c>
      <c r="E1748" s="15">
        <f>5.31-0.122-0.021-0.55-0.123-0.092-0.546-0.197-0.185+2.22-0.303-0.274-0.065-1.109-0.214-0.123-0.304</f>
        <v>3.302</v>
      </c>
    </row>
    <row r="1749" spans="1:5" x14ac:dyDescent="0.3">
      <c r="A1749" s="10">
        <v>114</v>
      </c>
      <c r="B1749" s="10">
        <v>28</v>
      </c>
      <c r="C1749" s="10" t="s">
        <v>130</v>
      </c>
      <c r="D1749" s="10" t="s">
        <v>1</v>
      </c>
      <c r="E1749" s="15">
        <f>4.6-1.951</f>
        <v>2.6489999999999996</v>
      </c>
    </row>
    <row r="1750" spans="1:5" x14ac:dyDescent="0.3">
      <c r="A1750" s="10">
        <v>114</v>
      </c>
      <c r="B1750" s="10">
        <v>28</v>
      </c>
      <c r="C1750" s="10" t="s">
        <v>30</v>
      </c>
      <c r="D1750" s="10" t="s">
        <v>1</v>
      </c>
      <c r="E1750" s="15">
        <f>2.675-0.54+3.2-0.363-0.272-0.552-0.063-0.27-0.544-0.072</f>
        <v>3.1989999999999998</v>
      </c>
    </row>
    <row r="1751" spans="1:5" x14ac:dyDescent="0.3">
      <c r="A1751" s="8">
        <v>114</v>
      </c>
      <c r="B1751" s="8">
        <v>28</v>
      </c>
      <c r="C1751" s="8" t="s">
        <v>106</v>
      </c>
      <c r="D1751" s="8" t="s">
        <v>1</v>
      </c>
      <c r="E1751" s="9">
        <f>4.235-0.086-3.101-0.094+1.395+2.3+2.6+1.055</f>
        <v>8.3040000000000003</v>
      </c>
    </row>
    <row r="1752" spans="1:5" x14ac:dyDescent="0.3">
      <c r="A1752" s="8">
        <v>114</v>
      </c>
      <c r="B1752" s="8">
        <v>30</v>
      </c>
      <c r="C1752" s="8">
        <v>20</v>
      </c>
      <c r="D1752" s="8" t="s">
        <v>1</v>
      </c>
      <c r="E1752" s="9">
        <f>4.3-0.128</f>
        <v>4.1719999999999997</v>
      </c>
    </row>
    <row r="1753" spans="1:5" x14ac:dyDescent="0.3">
      <c r="A1753" s="8">
        <v>114</v>
      </c>
      <c r="B1753" s="8">
        <v>30</v>
      </c>
      <c r="C1753" s="8">
        <v>20</v>
      </c>
      <c r="D1753" s="8" t="s">
        <v>1</v>
      </c>
      <c r="E1753" s="9">
        <f>5-4.3</f>
        <v>0.70000000000000018</v>
      </c>
    </row>
    <row r="1754" spans="1:5" x14ac:dyDescent="0.3">
      <c r="A1754" s="10">
        <v>114</v>
      </c>
      <c r="B1754" s="10">
        <v>30</v>
      </c>
      <c r="C1754" s="10" t="s">
        <v>28</v>
      </c>
      <c r="D1754" s="10" t="s">
        <v>1</v>
      </c>
      <c r="E1754" s="15">
        <f>2.88+2.375-0.055-0.032</f>
        <v>5.1680000000000001</v>
      </c>
    </row>
    <row r="1755" spans="1:5" x14ac:dyDescent="0.3">
      <c r="A1755" s="10">
        <v>114</v>
      </c>
      <c r="B1755" s="10">
        <v>30</v>
      </c>
      <c r="C1755" s="10" t="s">
        <v>30</v>
      </c>
      <c r="D1755" s="10" t="s">
        <v>1</v>
      </c>
      <c r="E1755" s="15">
        <f>2.72+2.17+0.525</f>
        <v>5.4150000000000009</v>
      </c>
    </row>
    <row r="1756" spans="1:5" x14ac:dyDescent="0.3">
      <c r="A1756" s="8">
        <v>114</v>
      </c>
      <c r="B1756" s="8">
        <v>32</v>
      </c>
      <c r="C1756" s="8">
        <v>45</v>
      </c>
      <c r="D1756" s="8" t="s">
        <v>1</v>
      </c>
      <c r="E1756" s="9">
        <v>5</v>
      </c>
    </row>
    <row r="1757" spans="1:5" x14ac:dyDescent="0.3">
      <c r="A1757" s="8">
        <v>114</v>
      </c>
      <c r="B1757" s="8">
        <v>32</v>
      </c>
      <c r="C1757" s="8" t="s">
        <v>30</v>
      </c>
      <c r="D1757" s="8" t="s">
        <v>1</v>
      </c>
      <c r="E1757" s="9">
        <v>5</v>
      </c>
    </row>
    <row r="1758" spans="1:5" x14ac:dyDescent="0.3">
      <c r="A1758" s="8">
        <v>114</v>
      </c>
      <c r="B1758" s="8">
        <v>36</v>
      </c>
      <c r="C1758" s="8" t="s">
        <v>30</v>
      </c>
      <c r="D1758" s="8" t="s">
        <v>1</v>
      </c>
      <c r="E1758" s="9">
        <v>5</v>
      </c>
    </row>
    <row r="1759" spans="1:5" x14ac:dyDescent="0.3">
      <c r="A1759" s="8">
        <v>117</v>
      </c>
      <c r="B1759" s="8">
        <v>6</v>
      </c>
      <c r="C1759" s="8">
        <v>35</v>
      </c>
      <c r="D1759" s="8" t="s">
        <v>4</v>
      </c>
      <c r="E1759" s="9">
        <f>3.116-0.101-0.12-2.16-0.021+0.021-0.123+0.019-0.127-0.045</f>
        <v>0.45899999999999991</v>
      </c>
    </row>
    <row r="1760" spans="1:5" x14ac:dyDescent="0.3">
      <c r="A1760" s="10">
        <v>121</v>
      </c>
      <c r="B1760" s="10">
        <v>5</v>
      </c>
      <c r="C1760" s="10" t="s">
        <v>26</v>
      </c>
      <c r="D1760" s="10" t="s">
        <v>110</v>
      </c>
      <c r="E1760" s="15">
        <f>0.262-0.023+0.016-0.03-0.024-0.044-0.005-0.008-0.004</f>
        <v>0.14000000000000001</v>
      </c>
    </row>
    <row r="1761" spans="1:5" x14ac:dyDescent="0.3">
      <c r="A1761" s="8">
        <v>121</v>
      </c>
      <c r="B1761" s="8">
        <v>5</v>
      </c>
      <c r="C1761" s="8" t="s">
        <v>26</v>
      </c>
      <c r="D1761" s="8" t="s">
        <v>64</v>
      </c>
      <c r="E1761" s="9">
        <f>5.16-0.003-0.016-0.023</f>
        <v>5.1180000000000003</v>
      </c>
    </row>
    <row r="1762" spans="1:5" x14ac:dyDescent="0.3">
      <c r="A1762" s="10">
        <v>121</v>
      </c>
      <c r="B1762" s="10">
        <v>5</v>
      </c>
      <c r="C1762" s="10" t="s">
        <v>36</v>
      </c>
      <c r="D1762" s="10" t="s">
        <v>1</v>
      </c>
      <c r="E1762" s="15">
        <f>5.29-0.268-0.022</f>
        <v>5</v>
      </c>
    </row>
    <row r="1763" spans="1:5" x14ac:dyDescent="0.3">
      <c r="A1763" s="10">
        <v>121</v>
      </c>
      <c r="B1763" s="10">
        <v>6</v>
      </c>
      <c r="C1763" s="10">
        <v>20</v>
      </c>
      <c r="D1763" s="10" t="s">
        <v>1</v>
      </c>
      <c r="E1763" s="15">
        <f>3.42-0.089-0.03+0.013-0.039-0.066-0.037-0.054-0.066-0.019-0.013-0.158-0.019+0.507+0.19-0.15-0.011-0.006-0.766-0.106-0.19-0.028-1.495-0.037-0.003-0.321-0.035</f>
        <v>0.39200000000000068</v>
      </c>
    </row>
    <row r="1764" spans="1:5" x14ac:dyDescent="0.3">
      <c r="A1764" s="10">
        <v>121</v>
      </c>
      <c r="B1764" s="10">
        <v>6</v>
      </c>
      <c r="C1764" s="10">
        <v>20</v>
      </c>
      <c r="D1764" s="10" t="s">
        <v>8</v>
      </c>
      <c r="E1764" s="15">
        <f>4.854-0.008-0.019-0.01-0.076-0.012-0.035-0.019-0.005-0.019-0.055-0.023</f>
        <v>4.5730000000000013</v>
      </c>
    </row>
    <row r="1765" spans="1:5" x14ac:dyDescent="0.3">
      <c r="A1765" s="8">
        <v>121</v>
      </c>
      <c r="B1765" s="8">
        <v>6</v>
      </c>
      <c r="C1765" s="8" t="s">
        <v>30</v>
      </c>
      <c r="D1765" s="8" t="s">
        <v>1</v>
      </c>
      <c r="E1765" s="9">
        <f>1.045-0.404-0.01-0.137+1.655-0.01-0.065-0.019-0.03-0.024-0.112</f>
        <v>1.8890000000000002</v>
      </c>
    </row>
    <row r="1766" spans="1:5" x14ac:dyDescent="0.3">
      <c r="A1766" s="8">
        <v>121</v>
      </c>
      <c r="B1766" s="8">
        <v>6</v>
      </c>
      <c r="C1766" s="8" t="s">
        <v>30</v>
      </c>
      <c r="D1766" s="8" t="s">
        <v>1</v>
      </c>
      <c r="E1766" s="9">
        <v>5</v>
      </c>
    </row>
    <row r="1767" spans="1:5" x14ac:dyDescent="0.3">
      <c r="A1767" s="8">
        <v>121</v>
      </c>
      <c r="B1767" s="8">
        <v>8</v>
      </c>
      <c r="C1767" s="8">
        <v>20</v>
      </c>
      <c r="D1767" s="8" t="s">
        <v>1</v>
      </c>
      <c r="E1767" s="9">
        <v>5</v>
      </c>
    </row>
    <row r="1768" spans="1:5" x14ac:dyDescent="0.3">
      <c r="A1768" s="10">
        <v>121</v>
      </c>
      <c r="B1768" s="10">
        <v>8</v>
      </c>
      <c r="C1768" s="10" t="s">
        <v>26</v>
      </c>
      <c r="D1768" s="10" t="s">
        <v>1</v>
      </c>
      <c r="E1768" s="15">
        <f>3.55-0.013-0.045-0.069-0.064-0.114-0.184-0.036-0.024-1.31-0.011-0.188-0.004-0.185-1.127-0.183+0.01</f>
        <v>2.9999999999999385E-3</v>
      </c>
    </row>
    <row r="1769" spans="1:5" x14ac:dyDescent="0.3">
      <c r="A1769" s="8">
        <v>121</v>
      </c>
      <c r="B1769" s="8">
        <v>8</v>
      </c>
      <c r="C1769" s="8" t="s">
        <v>26</v>
      </c>
      <c r="D1769" s="8" t="s">
        <v>64</v>
      </c>
      <c r="E1769" s="9">
        <f>4.89-0.024-0.025-0.065-0.008-0.008-0.231</f>
        <v>4.528999999999999</v>
      </c>
    </row>
    <row r="1770" spans="1:5" x14ac:dyDescent="0.3">
      <c r="A1770" s="10">
        <v>121</v>
      </c>
      <c r="B1770" s="10">
        <v>8</v>
      </c>
      <c r="C1770" s="10" t="s">
        <v>28</v>
      </c>
      <c r="D1770" s="10" t="s">
        <v>1</v>
      </c>
      <c r="E1770" s="15">
        <f>5.42-1.745-0.025-0.207-0.007-0.071-0.6</f>
        <v>2.7649999999999997</v>
      </c>
    </row>
    <row r="1771" spans="1:5" x14ac:dyDescent="0.3">
      <c r="A1771" s="8">
        <v>121</v>
      </c>
      <c r="B1771" s="8">
        <v>8</v>
      </c>
      <c r="C1771" s="8" t="s">
        <v>30</v>
      </c>
      <c r="D1771" s="8" t="s">
        <v>1</v>
      </c>
      <c r="E1771" s="9">
        <v>5</v>
      </c>
    </row>
    <row r="1772" spans="1:5" x14ac:dyDescent="0.3">
      <c r="A1772" s="10">
        <v>121</v>
      </c>
      <c r="B1772" s="10">
        <v>8</v>
      </c>
      <c r="C1772" s="10" t="s">
        <v>29</v>
      </c>
      <c r="D1772" s="10" t="s">
        <v>3</v>
      </c>
      <c r="E1772" s="15">
        <v>0.30499999999999999</v>
      </c>
    </row>
    <row r="1773" spans="1:5" x14ac:dyDescent="0.3">
      <c r="A1773" s="8">
        <v>121</v>
      </c>
      <c r="B1773" s="8">
        <v>10</v>
      </c>
      <c r="C1773" s="8">
        <v>20</v>
      </c>
      <c r="D1773" s="8" t="s">
        <v>1</v>
      </c>
      <c r="E1773" s="9">
        <v>5</v>
      </c>
    </row>
    <row r="1774" spans="1:5" x14ac:dyDescent="0.3">
      <c r="A1774" s="10">
        <v>121</v>
      </c>
      <c r="B1774" s="10">
        <v>10</v>
      </c>
      <c r="C1774" s="10" t="s">
        <v>26</v>
      </c>
      <c r="D1774" s="10" t="s">
        <v>110</v>
      </c>
      <c r="E1774" s="15">
        <f>2.114-0.029+0.226-0.007-0.024-0.084-0.021-0.029-0.043-0.025-0.017-0.097-0.043-0.006-0.043-0.029-0.07-0.029</f>
        <v>1.7440000000000002</v>
      </c>
    </row>
    <row r="1775" spans="1:5" x14ac:dyDescent="0.3">
      <c r="A1775" s="8">
        <v>121</v>
      </c>
      <c r="B1775" s="8">
        <v>10</v>
      </c>
      <c r="C1775" s="8" t="s">
        <v>26</v>
      </c>
      <c r="D1775" s="8" t="s">
        <v>64</v>
      </c>
      <c r="E1775" s="9">
        <f>5.2-0.03-0.088-0.208-0.209-0.044</f>
        <v>4.6210000000000004</v>
      </c>
    </row>
    <row r="1776" spans="1:5" x14ac:dyDescent="0.3">
      <c r="A1776" s="8">
        <v>121</v>
      </c>
      <c r="B1776" s="8">
        <v>10</v>
      </c>
      <c r="C1776" s="8">
        <v>45</v>
      </c>
      <c r="D1776" s="8" t="s">
        <v>1</v>
      </c>
      <c r="E1776" s="9">
        <f>4.075-0.027</f>
        <v>4.048</v>
      </c>
    </row>
    <row r="1777" spans="1:5" x14ac:dyDescent="0.3">
      <c r="A1777" s="8">
        <v>121</v>
      </c>
      <c r="B1777" s="8">
        <v>10</v>
      </c>
      <c r="C1777" s="8">
        <v>45</v>
      </c>
      <c r="D1777" s="8" t="s">
        <v>1</v>
      </c>
      <c r="E1777" s="9">
        <f>5-4.075</f>
        <v>0.92499999999999982</v>
      </c>
    </row>
    <row r="1778" spans="1:5" x14ac:dyDescent="0.3">
      <c r="A1778" s="10">
        <v>121</v>
      </c>
      <c r="B1778" s="10">
        <v>10</v>
      </c>
      <c r="C1778" s="10" t="s">
        <v>28</v>
      </c>
      <c r="D1778" s="10" t="s">
        <v>1</v>
      </c>
      <c r="E1778" s="15">
        <f>5.19-0.058-0.431-0.89-0.882</f>
        <v>2.9290000000000003</v>
      </c>
    </row>
    <row r="1779" spans="1:5" x14ac:dyDescent="0.3">
      <c r="A1779" s="8">
        <v>121</v>
      </c>
      <c r="B1779" s="8">
        <v>10</v>
      </c>
      <c r="C1779" s="8" t="s">
        <v>30</v>
      </c>
      <c r="D1779" s="8" t="s">
        <v>1</v>
      </c>
      <c r="E1779" s="9">
        <v>5</v>
      </c>
    </row>
    <row r="1780" spans="1:5" x14ac:dyDescent="0.3">
      <c r="A1780" s="8">
        <v>121</v>
      </c>
      <c r="B1780" s="8">
        <v>12</v>
      </c>
      <c r="C1780" s="8">
        <v>20</v>
      </c>
      <c r="D1780" s="8" t="s">
        <v>1</v>
      </c>
      <c r="E1780" s="9">
        <v>5</v>
      </c>
    </row>
    <row r="1781" spans="1:5" x14ac:dyDescent="0.3">
      <c r="A1781" s="10">
        <v>121</v>
      </c>
      <c r="B1781" s="10">
        <v>12</v>
      </c>
      <c r="C1781" s="10" t="s">
        <v>26</v>
      </c>
      <c r="D1781" s="10" t="s">
        <v>64</v>
      </c>
      <c r="E1781" s="15">
        <f>5.147-0.127-0.14</f>
        <v>4.8800000000000008</v>
      </c>
    </row>
    <row r="1782" spans="1:5" x14ac:dyDescent="0.3">
      <c r="A1782" s="8">
        <v>121</v>
      </c>
      <c r="B1782" s="8">
        <v>12</v>
      </c>
      <c r="C1782" s="8">
        <v>35</v>
      </c>
      <c r="D1782" s="8" t="s">
        <v>1</v>
      </c>
      <c r="E1782" s="9">
        <v>5</v>
      </c>
    </row>
    <row r="1783" spans="1:5" x14ac:dyDescent="0.3">
      <c r="A1783" s="8">
        <v>121</v>
      </c>
      <c r="B1783" s="8">
        <v>12</v>
      </c>
      <c r="C1783" s="8">
        <v>45</v>
      </c>
      <c r="D1783" s="8" t="s">
        <v>1</v>
      </c>
      <c r="E1783" s="9">
        <v>5</v>
      </c>
    </row>
    <row r="1784" spans="1:5" x14ac:dyDescent="0.3">
      <c r="A1784" s="10">
        <v>121</v>
      </c>
      <c r="B1784" s="10">
        <v>12</v>
      </c>
      <c r="C1784" s="10" t="s">
        <v>37</v>
      </c>
      <c r="D1784" s="10" t="s">
        <v>150</v>
      </c>
      <c r="E1784" s="15">
        <v>1.1100000000000001</v>
      </c>
    </row>
    <row r="1785" spans="1:5" x14ac:dyDescent="0.3">
      <c r="A1785" s="10">
        <v>121</v>
      </c>
      <c r="B1785" s="10">
        <v>12</v>
      </c>
      <c r="C1785" s="10" t="s">
        <v>28</v>
      </c>
      <c r="D1785" s="10" t="s">
        <v>1</v>
      </c>
      <c r="E1785" s="15">
        <f>10.45-0.064-0.273-2.03-0.291-0.019+2.03-0.018-0.31-0.035-0.133-0.054-0.682-0.339-0.447-0.35-0.067+0.331-0.357-0.084-0.698-0.537-0.04-0.041-0.193-0.346-5.11-0.088</f>
        <v>0.20499999999999838</v>
      </c>
    </row>
    <row r="1786" spans="1:5" x14ac:dyDescent="0.3">
      <c r="A1786" s="10">
        <v>121</v>
      </c>
      <c r="B1786" s="10">
        <v>12</v>
      </c>
      <c r="C1786" s="10" t="s">
        <v>28</v>
      </c>
      <c r="D1786" s="10" t="s">
        <v>1</v>
      </c>
      <c r="E1786" s="15">
        <f>5.11+0.088-0.353-0.088-0.051-2.07-0.018-0.199-0.704-0.082+3.505+1.62-0.261-0.273-0.275</f>
        <v>5.9490000000000007</v>
      </c>
    </row>
    <row r="1787" spans="1:5" x14ac:dyDescent="0.3">
      <c r="A1787" s="10">
        <v>121</v>
      </c>
      <c r="B1787" s="10">
        <v>12</v>
      </c>
      <c r="C1787" s="10" t="s">
        <v>30</v>
      </c>
      <c r="D1787" s="10" t="s">
        <v>1</v>
      </c>
      <c r="E1787" s="15">
        <f>5.32-0.483-0.023-0.012-0.513-0.171-0.252-0.256-0.244-0.251-0.168-0.253-0.018-0.034-0.253-0.053-0.252-0.026-0.254-0.258-0.084-0.133-0.074-0.04-0.051-0.005</f>
        <v>1.1590000000000016</v>
      </c>
    </row>
    <row r="1788" spans="1:5" x14ac:dyDescent="0.3">
      <c r="A1788" s="8">
        <v>121</v>
      </c>
      <c r="B1788" s="8">
        <v>12</v>
      </c>
      <c r="C1788" s="8" t="s">
        <v>30</v>
      </c>
      <c r="D1788" s="8" t="s">
        <v>1</v>
      </c>
      <c r="E1788" s="9">
        <v>5</v>
      </c>
    </row>
    <row r="1789" spans="1:5" x14ac:dyDescent="0.3">
      <c r="A1789" s="10">
        <v>121</v>
      </c>
      <c r="B1789" s="10">
        <v>14</v>
      </c>
      <c r="C1789" s="10" t="s">
        <v>26</v>
      </c>
      <c r="D1789" s="10" t="s">
        <v>64</v>
      </c>
      <c r="E1789" s="15">
        <v>5.14</v>
      </c>
    </row>
    <row r="1790" spans="1:5" x14ac:dyDescent="0.3">
      <c r="A1790" s="10">
        <v>121</v>
      </c>
      <c r="B1790" s="10">
        <v>14</v>
      </c>
      <c r="C1790" s="10" t="s">
        <v>28</v>
      </c>
      <c r="D1790" s="10" t="s">
        <v>1</v>
      </c>
      <c r="E1790" s="15">
        <f>2.885+2.9+0.65-0.993</f>
        <v>5.4420000000000002</v>
      </c>
    </row>
    <row r="1791" spans="1:5" x14ac:dyDescent="0.3">
      <c r="A1791" s="8">
        <v>121</v>
      </c>
      <c r="B1791" s="8">
        <v>14</v>
      </c>
      <c r="C1791" s="8" t="s">
        <v>30</v>
      </c>
      <c r="D1791" s="8" t="s">
        <v>1</v>
      </c>
      <c r="E1791" s="9">
        <f>2.81-0.031-0.182-0.021-0.029-0.4-0.025-0.073-0.077-0.031-0.644-0.248-1.001</f>
        <v>4.8000000000000709E-2</v>
      </c>
    </row>
    <row r="1792" spans="1:5" x14ac:dyDescent="0.3">
      <c r="A1792" s="8">
        <v>121</v>
      </c>
      <c r="B1792" s="8">
        <v>14</v>
      </c>
      <c r="C1792" s="8" t="s">
        <v>30</v>
      </c>
      <c r="D1792" s="8" t="s">
        <v>1</v>
      </c>
      <c r="E1792" s="9">
        <v>5</v>
      </c>
    </row>
    <row r="1793" spans="1:5" x14ac:dyDescent="0.3">
      <c r="A1793" s="10">
        <v>121</v>
      </c>
      <c r="B1793" s="10">
        <v>14</v>
      </c>
      <c r="C1793" s="10" t="s">
        <v>106</v>
      </c>
      <c r="D1793" s="10" t="s">
        <v>15</v>
      </c>
      <c r="E1793" s="15">
        <f>4.035-0.051</f>
        <v>3.984</v>
      </c>
    </row>
    <row r="1794" spans="1:5" x14ac:dyDescent="0.3">
      <c r="A1794" s="10">
        <v>121</v>
      </c>
      <c r="B1794" s="10">
        <v>16</v>
      </c>
      <c r="C1794" s="10">
        <v>20</v>
      </c>
      <c r="D1794" s="10" t="s">
        <v>1</v>
      </c>
      <c r="E1794" s="15">
        <f>7.208-0.027-0.041-0.044-0.045-0.193-0.129-0.082-0.045-0.102-0.006-0.326-0.045-0.288-0.045-0.087</f>
        <v>5.7030000000000012</v>
      </c>
    </row>
    <row r="1795" spans="1:5" x14ac:dyDescent="0.3">
      <c r="A1795" s="8">
        <v>121</v>
      </c>
      <c r="B1795" s="8">
        <v>16</v>
      </c>
      <c r="C1795" s="8" t="s">
        <v>26</v>
      </c>
      <c r="D1795" s="8" t="s">
        <v>64</v>
      </c>
      <c r="E1795" s="9">
        <f>1.84+7.26+3.27-0.95-0.019-0.067+1.53-0.087+0.73-1.566-0.301-0.209-0.346-0.009-0.243-0.036-0.026-0.248-0.074</f>
        <v>10.449</v>
      </c>
    </row>
    <row r="1796" spans="1:5" x14ac:dyDescent="0.3">
      <c r="A1796" s="10">
        <v>121</v>
      </c>
      <c r="B1796" s="10">
        <v>16</v>
      </c>
      <c r="C1796" s="10">
        <v>35</v>
      </c>
      <c r="D1796" s="10" t="s">
        <v>1</v>
      </c>
      <c r="E1796" s="15">
        <f>0.047+0.03-0.048-0.015</f>
        <v>1.3999999999999999E-2</v>
      </c>
    </row>
    <row r="1797" spans="1:5" x14ac:dyDescent="0.3">
      <c r="A1797" s="10">
        <v>121</v>
      </c>
      <c r="B1797" s="10">
        <v>16</v>
      </c>
      <c r="C1797" s="10">
        <v>35</v>
      </c>
      <c r="D1797" s="10" t="s">
        <v>1</v>
      </c>
      <c r="E1797" s="15">
        <v>1.4999999999999999E-2</v>
      </c>
    </row>
    <row r="1798" spans="1:5" x14ac:dyDescent="0.3">
      <c r="A1798" s="8">
        <v>121</v>
      </c>
      <c r="B1798" s="8">
        <v>16</v>
      </c>
      <c r="C1798" s="8">
        <v>35</v>
      </c>
      <c r="D1798" s="8" t="s">
        <v>1</v>
      </c>
      <c r="E1798" s="9">
        <v>5</v>
      </c>
    </row>
    <row r="1799" spans="1:5" x14ac:dyDescent="0.3">
      <c r="A1799" s="8">
        <v>121</v>
      </c>
      <c r="B1799" s="8">
        <v>16</v>
      </c>
      <c r="C1799" s="8">
        <v>45</v>
      </c>
      <c r="D1799" s="8" t="s">
        <v>1</v>
      </c>
      <c r="E1799" s="9">
        <v>5</v>
      </c>
    </row>
    <row r="1800" spans="1:5" x14ac:dyDescent="0.3">
      <c r="A1800" s="10">
        <v>121</v>
      </c>
      <c r="B1800" s="10">
        <v>16</v>
      </c>
      <c r="C1800" s="10" t="s">
        <v>36</v>
      </c>
      <c r="D1800" s="10" t="s">
        <v>1</v>
      </c>
      <c r="E1800" s="15">
        <f>0.381+2.176</f>
        <v>2.5570000000000004</v>
      </c>
    </row>
    <row r="1801" spans="1:5" x14ac:dyDescent="0.3">
      <c r="A1801" s="10">
        <v>121</v>
      </c>
      <c r="B1801" s="10">
        <v>16</v>
      </c>
      <c r="C1801" s="10" t="s">
        <v>28</v>
      </c>
      <c r="D1801" s="10" t="s">
        <v>1</v>
      </c>
      <c r="E1801" s="15">
        <f>5.08-0.041-0.299-0.128-0.136</f>
        <v>4.4759999999999991</v>
      </c>
    </row>
    <row r="1802" spans="1:5" x14ac:dyDescent="0.3">
      <c r="A1802" s="10">
        <v>121</v>
      </c>
      <c r="B1802" s="10">
        <v>16</v>
      </c>
      <c r="C1802" s="10" t="s">
        <v>30</v>
      </c>
      <c r="D1802" s="10" t="s">
        <v>1</v>
      </c>
      <c r="E1802" s="15">
        <f>5.505+0.305-0.087-0.044-0.084-0.024-0.087</f>
        <v>5.4840000000000009</v>
      </c>
    </row>
    <row r="1803" spans="1:5" x14ac:dyDescent="0.3">
      <c r="A1803" s="8">
        <v>121</v>
      </c>
      <c r="B1803" s="8">
        <v>18</v>
      </c>
      <c r="C1803" s="8">
        <v>20</v>
      </c>
      <c r="D1803" s="8" t="s">
        <v>1</v>
      </c>
      <c r="E1803" s="9">
        <v>5</v>
      </c>
    </row>
    <row r="1804" spans="1:5" x14ac:dyDescent="0.3">
      <c r="A1804" s="10">
        <v>121</v>
      </c>
      <c r="B1804" s="10">
        <v>18</v>
      </c>
      <c r="C1804" s="10" t="s">
        <v>26</v>
      </c>
      <c r="D1804" s="10" t="s">
        <v>1</v>
      </c>
      <c r="E1804" s="15">
        <f>2.621-0.188-0.876-0.011-0.302-0.302-0.296-0.187-0.1+0.051-0.094-0.025-0.276</f>
        <v>1.4999999999999791E-2</v>
      </c>
    </row>
    <row r="1805" spans="1:5" x14ac:dyDescent="0.3">
      <c r="A1805" s="10">
        <v>121</v>
      </c>
      <c r="B1805" s="10">
        <v>18</v>
      </c>
      <c r="C1805" s="10" t="s">
        <v>26</v>
      </c>
      <c r="D1805" s="10" t="s">
        <v>64</v>
      </c>
      <c r="E1805" s="15">
        <f>10.265-0.05-0.302-0.315-0.093-0.063-0.085-0.078-0.026-0.087-0.874-0.025-0.09-0.06-0.049-0.072-0.026-0.439-0.44-0.989-0.081-0.017-3.492-0.326-0.071-0.017-0.326-0.09-0.655-0.072-0.043-0.97+0.091</f>
        <v>3.2999999999998392E-2</v>
      </c>
    </row>
    <row r="1806" spans="1:5" x14ac:dyDescent="0.3">
      <c r="A1806" s="10">
        <v>121</v>
      </c>
      <c r="B1806" s="10">
        <v>18</v>
      </c>
      <c r="C1806" s="10" t="s">
        <v>26</v>
      </c>
      <c r="D1806" s="10" t="s">
        <v>64</v>
      </c>
      <c r="E1806" s="15">
        <f>0.97-0.649</f>
        <v>0.32099999999999995</v>
      </c>
    </row>
    <row r="1807" spans="1:5" x14ac:dyDescent="0.3">
      <c r="A1807" s="8">
        <v>121</v>
      </c>
      <c r="B1807" s="8">
        <v>18</v>
      </c>
      <c r="C1807" s="8" t="s">
        <v>26</v>
      </c>
      <c r="D1807" s="8" t="s">
        <v>64</v>
      </c>
      <c r="E1807" s="9">
        <v>5</v>
      </c>
    </row>
    <row r="1808" spans="1:5" x14ac:dyDescent="0.3">
      <c r="A1808" s="10">
        <v>121</v>
      </c>
      <c r="B1808" s="10">
        <v>18</v>
      </c>
      <c r="C1808" s="10" t="s">
        <v>28</v>
      </c>
      <c r="D1808" s="10" t="s">
        <v>15</v>
      </c>
      <c r="E1808" s="15">
        <f>5.585-0.328-0.09-0.33-0.083-0.141-1.81-0.328-1.539-0.025-0.211+0.11-0.094-0.67</f>
        <v>4.5999999999999708E-2</v>
      </c>
    </row>
    <row r="1809" spans="1:5" x14ac:dyDescent="0.3">
      <c r="A1809" s="10">
        <v>121</v>
      </c>
      <c r="B1809" s="10">
        <v>18</v>
      </c>
      <c r="C1809" s="10" t="s">
        <v>28</v>
      </c>
      <c r="D1809" s="10" t="s">
        <v>1</v>
      </c>
      <c r="E1809" s="15">
        <f>0.67+2.3+2.81-0.367-1.096</f>
        <v>4.3169999999999993</v>
      </c>
    </row>
    <row r="1810" spans="1:5" x14ac:dyDescent="0.3">
      <c r="A1810" s="10">
        <v>121</v>
      </c>
      <c r="B1810" s="10">
        <v>18</v>
      </c>
      <c r="C1810" s="10" t="s">
        <v>30</v>
      </c>
      <c r="D1810" s="10" t="s">
        <v>1</v>
      </c>
      <c r="E1810" s="15">
        <f>2.7+0.775+2.69-0.41</f>
        <v>5.7549999999999999</v>
      </c>
    </row>
    <row r="1811" spans="1:5" x14ac:dyDescent="0.3">
      <c r="A1811" s="8">
        <v>121</v>
      </c>
      <c r="B1811" s="8">
        <v>20</v>
      </c>
      <c r="C1811" s="8">
        <v>20</v>
      </c>
      <c r="D1811" s="8" t="s">
        <v>1</v>
      </c>
      <c r="E1811" s="9">
        <v>5</v>
      </c>
    </row>
    <row r="1812" spans="1:5" x14ac:dyDescent="0.3">
      <c r="A1812" s="10">
        <v>121</v>
      </c>
      <c r="B1812" s="10">
        <v>20</v>
      </c>
      <c r="C1812" s="10" t="s">
        <v>26</v>
      </c>
      <c r="D1812" s="10" t="s">
        <v>64</v>
      </c>
      <c r="E1812" s="15">
        <f>4.823-0.069-0.183-0.028-0.104-0.028-0.361-0.054-0.027-0.344-0.335-3.284+0.011+10.295-0.081-0.039-1.566-0.431-0.087-0.159-0.107-0.313-0.054-0.437-0.149-0.221-0.024-1.31-0.073-0.055-0.106-0.058-0.158-0.167-0.08-4.342-0.055-0.091-0.107-0.055+0.077-0.048-0.009</f>
        <v>7.0000000000017219E-3</v>
      </c>
    </row>
    <row r="1813" spans="1:5" x14ac:dyDescent="0.3">
      <c r="A1813" s="8">
        <v>121</v>
      </c>
      <c r="B1813" s="8">
        <v>20</v>
      </c>
      <c r="C1813" s="8" t="s">
        <v>26</v>
      </c>
      <c r="D1813" s="8" t="s">
        <v>64</v>
      </c>
      <c r="E1813" s="9">
        <f>3.3-0.137-0.281-0.42+4.12-0.106-0.424-0.312-0.845-0.018-0.86</f>
        <v>4.0169999999999995</v>
      </c>
    </row>
    <row r="1814" spans="1:5" x14ac:dyDescent="0.3">
      <c r="A1814" s="8">
        <v>121</v>
      </c>
      <c r="B1814" s="8">
        <v>20</v>
      </c>
      <c r="C1814" s="8">
        <v>35</v>
      </c>
      <c r="D1814" s="8" t="s">
        <v>1</v>
      </c>
      <c r="E1814" s="9">
        <v>5</v>
      </c>
    </row>
    <row r="1815" spans="1:5" x14ac:dyDescent="0.3">
      <c r="A1815" s="8">
        <v>121</v>
      </c>
      <c r="B1815" s="8">
        <v>20</v>
      </c>
      <c r="C1815" s="8">
        <v>45</v>
      </c>
      <c r="D1815" s="8" t="s">
        <v>1</v>
      </c>
      <c r="E1815" s="9">
        <v>5</v>
      </c>
    </row>
    <row r="1816" spans="1:5" x14ac:dyDescent="0.3">
      <c r="A1816" s="10">
        <v>121</v>
      </c>
      <c r="B1816" s="10">
        <v>20</v>
      </c>
      <c r="C1816" s="10" t="s">
        <v>28</v>
      </c>
      <c r="D1816" s="10" t="s">
        <v>1</v>
      </c>
      <c r="E1816" s="15">
        <f>9.96+11.873-0.47-0.468-0.422-3.768-0.308-0.044-0.054</f>
        <v>16.298999999999999</v>
      </c>
    </row>
    <row r="1817" spans="1:5" x14ac:dyDescent="0.3">
      <c r="A1817" s="8">
        <v>121</v>
      </c>
      <c r="B1817" s="8">
        <v>20</v>
      </c>
      <c r="C1817" s="8" t="s">
        <v>30</v>
      </c>
      <c r="D1817" s="8" t="s">
        <v>1</v>
      </c>
      <c r="E1817" s="9">
        <v>5</v>
      </c>
    </row>
    <row r="1818" spans="1:5" x14ac:dyDescent="0.3">
      <c r="A1818" s="10">
        <v>121</v>
      </c>
      <c r="B1818" s="10">
        <v>20</v>
      </c>
      <c r="C1818" s="10" t="s">
        <v>106</v>
      </c>
      <c r="D1818" s="10" t="s">
        <v>1</v>
      </c>
      <c r="E1818" s="15">
        <f>2.75+2.34</f>
        <v>5.09</v>
      </c>
    </row>
    <row r="1819" spans="1:5" x14ac:dyDescent="0.3">
      <c r="A1819" s="8">
        <v>121</v>
      </c>
      <c r="B1819" s="8">
        <v>22</v>
      </c>
      <c r="C1819" s="8">
        <v>20</v>
      </c>
      <c r="D1819" s="8" t="s">
        <v>1</v>
      </c>
      <c r="E1819" s="9">
        <v>5</v>
      </c>
    </row>
    <row r="1820" spans="1:5" x14ac:dyDescent="0.3">
      <c r="A1820" s="8">
        <v>121</v>
      </c>
      <c r="B1820" s="8">
        <v>22</v>
      </c>
      <c r="C1820" s="8">
        <v>35</v>
      </c>
      <c r="D1820" s="8" t="s">
        <v>1</v>
      </c>
      <c r="E1820" s="9">
        <f>4.82-0.165-0.165-0.105</f>
        <v>4.3849999999999998</v>
      </c>
    </row>
    <row r="1821" spans="1:5" x14ac:dyDescent="0.3">
      <c r="A1821" s="10">
        <v>121</v>
      </c>
      <c r="B1821" s="10">
        <v>22</v>
      </c>
      <c r="C1821" s="10">
        <v>45</v>
      </c>
      <c r="D1821" s="10" t="s">
        <v>1</v>
      </c>
      <c r="E1821" s="15">
        <f>6.47-0.086-0.111-0.152-1.14-0.128-1.06-0.083-0.078-0.22-0.373-0.063</f>
        <v>2.9759999999999995</v>
      </c>
    </row>
    <row r="1822" spans="1:5" x14ac:dyDescent="0.3">
      <c r="A1822" s="10">
        <v>121</v>
      </c>
      <c r="B1822" s="10">
        <v>22</v>
      </c>
      <c r="C1822" s="10" t="s">
        <v>28</v>
      </c>
      <c r="D1822" s="10" t="s">
        <v>1</v>
      </c>
      <c r="E1822" s="15">
        <f>2.986+2.779</f>
        <v>5.7650000000000006</v>
      </c>
    </row>
    <row r="1823" spans="1:5" x14ac:dyDescent="0.3">
      <c r="A1823" s="10">
        <v>121</v>
      </c>
      <c r="B1823" s="10">
        <v>22</v>
      </c>
      <c r="C1823" s="10" t="s">
        <v>30</v>
      </c>
      <c r="D1823" s="10" t="s">
        <v>1</v>
      </c>
      <c r="E1823" s="15">
        <f>1-0.155-0.11+2.505+2.49-0.019-0.149-0.224-0.508-0.283-0.509-0.11</f>
        <v>3.9279999999999995</v>
      </c>
    </row>
    <row r="1824" spans="1:5" x14ac:dyDescent="0.3">
      <c r="A1824" s="10">
        <v>121</v>
      </c>
      <c r="B1824" s="10">
        <v>23</v>
      </c>
      <c r="C1824" s="10" t="s">
        <v>26</v>
      </c>
      <c r="D1824" s="10" t="s">
        <v>64</v>
      </c>
      <c r="E1824" s="15">
        <f>5.045-0.104-0.059-0.89-1.414-0.031-2.385-0.059-0.046+9.8-0.837-2.149-1.713-0.106-0.098-0.047-0.115-0.181-0.115-0.169-0.131-0.031-0.429-1.291-0.087-0.855-1.296</f>
        <v>0.20700000000000007</v>
      </c>
    </row>
    <row r="1825" spans="1:5" x14ac:dyDescent="0.3">
      <c r="A1825" s="10">
        <v>121</v>
      </c>
      <c r="B1825" s="10">
        <v>23</v>
      </c>
      <c r="C1825" s="10" t="s">
        <v>26</v>
      </c>
      <c r="D1825" s="10" t="s">
        <v>64</v>
      </c>
      <c r="E1825" s="15">
        <f>1.296-0.024</f>
        <v>1.272</v>
      </c>
    </row>
    <row r="1826" spans="1:5" x14ac:dyDescent="0.3">
      <c r="A1826" s="10">
        <v>121</v>
      </c>
      <c r="B1826" s="10">
        <v>24</v>
      </c>
      <c r="C1826" s="10" t="s">
        <v>30</v>
      </c>
      <c r="D1826" s="10" t="s">
        <v>1</v>
      </c>
      <c r="E1826" s="15">
        <f>3.477-0.061</f>
        <v>3.4159999999999999</v>
      </c>
    </row>
    <row r="1827" spans="1:5" x14ac:dyDescent="0.3">
      <c r="A1827" s="8">
        <v>121</v>
      </c>
      <c r="B1827" s="8">
        <v>25</v>
      </c>
      <c r="C1827" s="8">
        <v>20</v>
      </c>
      <c r="D1827" s="8" t="s">
        <v>1</v>
      </c>
      <c r="E1827" s="9">
        <v>5</v>
      </c>
    </row>
    <row r="1828" spans="1:5" x14ac:dyDescent="0.3">
      <c r="A1828" s="8">
        <v>121</v>
      </c>
      <c r="B1828" s="8">
        <v>25</v>
      </c>
      <c r="C1828" s="8" t="s">
        <v>26</v>
      </c>
      <c r="D1828" s="8" t="s">
        <v>64</v>
      </c>
      <c r="E1828" s="9">
        <f>10.18-0.039-0.873-0.123-0.022-0.436-0.063-0.039-0.033-0.04-0.123-0.155-0.155-0.425-1.3</f>
        <v>6.3540000000000045</v>
      </c>
    </row>
    <row r="1829" spans="1:5" x14ac:dyDescent="0.3">
      <c r="A1829" s="8">
        <v>121</v>
      </c>
      <c r="B1829" s="8">
        <v>25</v>
      </c>
      <c r="C1829" s="8">
        <v>35</v>
      </c>
      <c r="D1829" s="8" t="s">
        <v>1</v>
      </c>
      <c r="E1829" s="9">
        <v>5</v>
      </c>
    </row>
    <row r="1830" spans="1:5" x14ac:dyDescent="0.3">
      <c r="A1830" s="10">
        <v>121</v>
      </c>
      <c r="B1830" s="10">
        <v>25</v>
      </c>
      <c r="C1830" s="10">
        <v>45</v>
      </c>
      <c r="D1830" s="10" t="s">
        <v>1</v>
      </c>
      <c r="E1830" s="15">
        <f>4.88-0.063-0.43-0.064-0.498-0.063-0.072-0.29-0.117</f>
        <v>3.2829999999999999</v>
      </c>
    </row>
    <row r="1831" spans="1:5" x14ac:dyDescent="0.3">
      <c r="A1831" s="10">
        <v>121</v>
      </c>
      <c r="B1831" s="10">
        <v>25</v>
      </c>
      <c r="C1831" s="10" t="s">
        <v>28</v>
      </c>
      <c r="D1831" s="10" t="s">
        <v>1</v>
      </c>
      <c r="E1831" s="15">
        <f>5.29-0.062-0.823-0.52-0.52-0.272-0.122-0.513-0.302-0.054-0.116-0.513-0.159-0.063-0.038-1.033</f>
        <v>0.17999999999999949</v>
      </c>
    </row>
    <row r="1832" spans="1:5" x14ac:dyDescent="0.3">
      <c r="A1832" s="10">
        <v>121</v>
      </c>
      <c r="B1832" s="10">
        <v>25</v>
      </c>
      <c r="C1832" s="10" t="s">
        <v>28</v>
      </c>
      <c r="D1832" s="10" t="s">
        <v>1</v>
      </c>
      <c r="E1832" s="15">
        <f>2.69+2.69-0.556-0.558-0.559-0.093</f>
        <v>3.6139999999999999</v>
      </c>
    </row>
    <row r="1833" spans="1:5" x14ac:dyDescent="0.3">
      <c r="A1833" s="10">
        <v>121</v>
      </c>
      <c r="B1833" s="10">
        <v>25</v>
      </c>
      <c r="C1833" s="10" t="s">
        <v>30</v>
      </c>
      <c r="D1833" s="10" t="s">
        <v>1</v>
      </c>
      <c r="E1833" s="15">
        <f>2.615+2.605+0.525-0.123-0.045-0.105-1.598-0.123</f>
        <v>3.7510000000000003</v>
      </c>
    </row>
    <row r="1834" spans="1:5" x14ac:dyDescent="0.3">
      <c r="A1834" s="8">
        <v>121</v>
      </c>
      <c r="B1834" s="8">
        <v>28</v>
      </c>
      <c r="C1834" s="8">
        <v>20</v>
      </c>
      <c r="D1834" s="8" t="s">
        <v>1</v>
      </c>
      <c r="E1834" s="9">
        <v>5</v>
      </c>
    </row>
    <row r="1835" spans="1:5" x14ac:dyDescent="0.3">
      <c r="A1835" s="10">
        <v>121</v>
      </c>
      <c r="B1835" s="10">
        <v>28</v>
      </c>
      <c r="C1835" s="10" t="s">
        <v>26</v>
      </c>
      <c r="D1835" s="10" t="s">
        <v>64</v>
      </c>
      <c r="E1835" s="15">
        <f>4.875-0.329-0.153-1.785-0.067-0.197-0.095-0.432-0.133-0.035-0.166-0.331-0.03+8.33-1.231-0.44-0.899-0.105-0.049-0.344-0.101-0.345-0.308-0.069-0.143-0.715-0.643</f>
        <v>4.0599999999999996</v>
      </c>
    </row>
    <row r="1836" spans="1:5" x14ac:dyDescent="0.3">
      <c r="A1836" s="8">
        <v>121</v>
      </c>
      <c r="B1836" s="8">
        <v>28</v>
      </c>
      <c r="C1836" s="8" t="s">
        <v>26</v>
      </c>
      <c r="D1836" s="8" t="s">
        <v>64</v>
      </c>
      <c r="E1836" s="9">
        <f>10-8.33</f>
        <v>1.67</v>
      </c>
    </row>
    <row r="1837" spans="1:5" x14ac:dyDescent="0.3">
      <c r="A1837" s="10">
        <v>121</v>
      </c>
      <c r="B1837" s="10">
        <v>28</v>
      </c>
      <c r="C1837" s="10">
        <v>35</v>
      </c>
      <c r="D1837" s="10" t="s">
        <v>1</v>
      </c>
      <c r="E1837" s="15">
        <f>1.85-0.386-0.409</f>
        <v>1.0549999999999999</v>
      </c>
    </row>
    <row r="1838" spans="1:5" x14ac:dyDescent="0.3">
      <c r="A1838" s="8">
        <v>121</v>
      </c>
      <c r="B1838" s="8">
        <v>28</v>
      </c>
      <c r="C1838" s="8">
        <v>35</v>
      </c>
      <c r="D1838" s="8" t="s">
        <v>1</v>
      </c>
      <c r="E1838" s="9">
        <v>5</v>
      </c>
    </row>
    <row r="1839" spans="1:5" x14ac:dyDescent="0.3">
      <c r="A1839" s="8">
        <v>121</v>
      </c>
      <c r="B1839" s="8">
        <v>28</v>
      </c>
      <c r="C1839" s="8">
        <v>45</v>
      </c>
      <c r="D1839" s="8" t="s">
        <v>1</v>
      </c>
      <c r="E1839" s="9">
        <v>5</v>
      </c>
    </row>
    <row r="1840" spans="1:5" x14ac:dyDescent="0.3">
      <c r="A1840" s="10">
        <v>121</v>
      </c>
      <c r="B1840" s="10">
        <v>28</v>
      </c>
      <c r="C1840" s="10" t="s">
        <v>28</v>
      </c>
      <c r="D1840" s="10" t="s">
        <v>1</v>
      </c>
      <c r="E1840" s="15">
        <f>2.54+0.515+2.54+2.55+2.535-0.078-0.525</f>
        <v>10.077</v>
      </c>
    </row>
    <row r="1841" spans="1:5" x14ac:dyDescent="0.3">
      <c r="A1841" s="10">
        <v>121</v>
      </c>
      <c r="B1841" s="10">
        <v>28</v>
      </c>
      <c r="C1841" s="10" t="s">
        <v>30</v>
      </c>
      <c r="D1841" s="10" t="s">
        <v>1</v>
      </c>
      <c r="E1841" s="15">
        <f>5.305-0.213-0.373-0.133-0.128-0.385-0.133-0.041-0.515-1.039-0.028-0.517-0.21-0.262-0.517-0.264-0.092-0.068-0.179-0.068-0.069+0.11-0.172</f>
        <v>8.9999999999998415E-3</v>
      </c>
    </row>
    <row r="1842" spans="1:5" x14ac:dyDescent="0.3">
      <c r="A1842" s="8">
        <v>121</v>
      </c>
      <c r="B1842" s="8">
        <v>28</v>
      </c>
      <c r="C1842" s="8" t="s">
        <v>30</v>
      </c>
      <c r="D1842" s="8" t="s">
        <v>1</v>
      </c>
      <c r="E1842" s="9">
        <v>7</v>
      </c>
    </row>
    <row r="1843" spans="1:5" x14ac:dyDescent="0.3">
      <c r="A1843" s="10">
        <v>121</v>
      </c>
      <c r="B1843" s="10">
        <v>28</v>
      </c>
      <c r="C1843" s="10" t="s">
        <v>106</v>
      </c>
      <c r="D1843" s="10" t="s">
        <v>1</v>
      </c>
      <c r="E1843" s="15">
        <f>2.58+2.757-0.01</f>
        <v>5.327</v>
      </c>
    </row>
    <row r="1844" spans="1:5" x14ac:dyDescent="0.3">
      <c r="A1844" s="8">
        <v>121</v>
      </c>
      <c r="B1844" s="8">
        <v>30</v>
      </c>
      <c r="C1844" s="8">
        <v>20</v>
      </c>
      <c r="D1844" s="8" t="s">
        <v>1</v>
      </c>
      <c r="E1844" s="9">
        <v>5</v>
      </c>
    </row>
    <row r="1845" spans="1:5" x14ac:dyDescent="0.3">
      <c r="A1845" s="8">
        <v>121</v>
      </c>
      <c r="B1845" s="8">
        <v>30</v>
      </c>
      <c r="C1845" s="8">
        <v>45</v>
      </c>
      <c r="D1845" s="8" t="s">
        <v>1</v>
      </c>
      <c r="E1845" s="9">
        <v>5</v>
      </c>
    </row>
    <row r="1846" spans="1:5" x14ac:dyDescent="0.3">
      <c r="A1846" s="10">
        <v>121</v>
      </c>
      <c r="B1846" s="10">
        <v>30</v>
      </c>
      <c r="C1846" s="10" t="s">
        <v>28</v>
      </c>
      <c r="D1846" s="10" t="s">
        <v>1</v>
      </c>
      <c r="E1846" s="15">
        <f>4.74-0.542-0.403-0.073-0.95-0.53-0.095-0.238-0.065</f>
        <v>1.8439999999999999</v>
      </c>
    </row>
    <row r="1847" spans="1:5" x14ac:dyDescent="0.3">
      <c r="A1847" s="8">
        <v>121</v>
      </c>
      <c r="B1847" s="8">
        <v>30</v>
      </c>
      <c r="C1847" s="8" t="s">
        <v>28</v>
      </c>
      <c r="D1847" s="8" t="s">
        <v>1</v>
      </c>
      <c r="E1847" s="15">
        <f>1.71+1.72+1.71</f>
        <v>5.14</v>
      </c>
    </row>
    <row r="1848" spans="1:5" x14ac:dyDescent="0.3">
      <c r="A1848" s="8">
        <v>121</v>
      </c>
      <c r="B1848" s="8">
        <v>32</v>
      </c>
      <c r="C1848" s="8">
        <v>20</v>
      </c>
      <c r="D1848" s="8" t="s">
        <v>1</v>
      </c>
      <c r="E1848" s="9">
        <v>5</v>
      </c>
    </row>
    <row r="1849" spans="1:5" x14ac:dyDescent="0.3">
      <c r="A1849" s="8">
        <v>121</v>
      </c>
      <c r="B1849" s="8">
        <v>32</v>
      </c>
      <c r="C1849" s="8">
        <v>35</v>
      </c>
      <c r="D1849" s="8" t="s">
        <v>1</v>
      </c>
      <c r="E1849" s="9">
        <v>5</v>
      </c>
    </row>
    <row r="1850" spans="1:5" x14ac:dyDescent="0.3">
      <c r="A1850" s="8">
        <v>121</v>
      </c>
      <c r="B1850" s="8">
        <v>32</v>
      </c>
      <c r="C1850" s="8">
        <v>45</v>
      </c>
      <c r="D1850" s="8" t="s">
        <v>1</v>
      </c>
      <c r="E1850" s="9">
        <v>5</v>
      </c>
    </row>
    <row r="1851" spans="1:5" x14ac:dyDescent="0.3">
      <c r="A1851" s="10">
        <v>121</v>
      </c>
      <c r="B1851" s="10">
        <v>32</v>
      </c>
      <c r="C1851" s="10" t="s">
        <v>26</v>
      </c>
      <c r="D1851" s="10" t="s">
        <v>1</v>
      </c>
      <c r="E1851" s="15">
        <f>5.04-0.144-0.11-0.074-0.322-1.732-1.007-0.512-0.167-0.039-0.146-0.322</f>
        <v>0.46499999999999947</v>
      </c>
    </row>
    <row r="1852" spans="1:5" x14ac:dyDescent="0.3">
      <c r="A1852" s="10">
        <v>121</v>
      </c>
      <c r="B1852" s="10">
        <v>32</v>
      </c>
      <c r="C1852" s="10" t="s">
        <v>30</v>
      </c>
      <c r="D1852" s="10" t="s">
        <v>1</v>
      </c>
      <c r="E1852" s="15">
        <v>5.3250000000000002</v>
      </c>
    </row>
    <row r="1853" spans="1:5" x14ac:dyDescent="0.3">
      <c r="A1853" s="10">
        <v>121</v>
      </c>
      <c r="B1853" s="10">
        <v>34</v>
      </c>
      <c r="C1853" s="10" t="s">
        <v>26</v>
      </c>
      <c r="D1853" s="10" t="s">
        <v>64</v>
      </c>
      <c r="E1853" s="15">
        <f>6.33-0.355-0.078-0.361-0.248</f>
        <v>5.2879999999999994</v>
      </c>
    </row>
    <row r="1854" spans="1:5" x14ac:dyDescent="0.3">
      <c r="A1854" s="10">
        <v>121</v>
      </c>
      <c r="B1854" s="10">
        <v>34</v>
      </c>
      <c r="C1854" s="10" t="s">
        <v>28</v>
      </c>
      <c r="D1854" s="10" t="s">
        <v>1</v>
      </c>
      <c r="E1854" s="15">
        <v>5.0949999999999998</v>
      </c>
    </row>
    <row r="1855" spans="1:5" x14ac:dyDescent="0.3">
      <c r="A1855" s="10">
        <v>121</v>
      </c>
      <c r="B1855" s="10">
        <v>34</v>
      </c>
      <c r="C1855" s="10" t="s">
        <v>30</v>
      </c>
      <c r="D1855" s="10" t="s">
        <v>1</v>
      </c>
      <c r="E1855" s="15">
        <f>4.02-0.303</f>
        <v>3.7169999999999996</v>
      </c>
    </row>
    <row r="1856" spans="1:5" x14ac:dyDescent="0.3">
      <c r="A1856" s="8">
        <v>121</v>
      </c>
      <c r="B1856" s="8">
        <v>36</v>
      </c>
      <c r="C1856" s="8">
        <v>20</v>
      </c>
      <c r="D1856" s="8" t="s">
        <v>1</v>
      </c>
      <c r="E1856" s="9">
        <v>5</v>
      </c>
    </row>
    <row r="1857" spans="1:5" x14ac:dyDescent="0.3">
      <c r="A1857" s="8">
        <v>121</v>
      </c>
      <c r="B1857" s="8">
        <v>40</v>
      </c>
      <c r="C1857" s="8" t="s">
        <v>30</v>
      </c>
      <c r="D1857" s="8" t="s">
        <v>1</v>
      </c>
      <c r="E1857" s="9">
        <v>5</v>
      </c>
    </row>
    <row r="1858" spans="1:5" x14ac:dyDescent="0.3">
      <c r="A1858" s="10">
        <v>126</v>
      </c>
      <c r="B1858" s="10">
        <v>5</v>
      </c>
      <c r="C1858" s="10">
        <v>20</v>
      </c>
      <c r="D1858" s="10" t="s">
        <v>1</v>
      </c>
      <c r="E1858" s="15">
        <v>2.5999999999999999E-2</v>
      </c>
    </row>
    <row r="1859" spans="1:5" x14ac:dyDescent="0.3">
      <c r="A1859" s="10">
        <v>127</v>
      </c>
      <c r="B1859" s="10">
        <v>4</v>
      </c>
      <c r="C1859" s="10">
        <v>20</v>
      </c>
      <c r="D1859" s="10" t="s">
        <v>1</v>
      </c>
      <c r="E1859" s="15">
        <f>0.313+0.3+1.898+0.12-1.898-0.433-0.241</f>
        <v>5.900000000000033E-2</v>
      </c>
    </row>
    <row r="1860" spans="1:5" x14ac:dyDescent="0.3">
      <c r="A1860" s="10">
        <v>127</v>
      </c>
      <c r="B1860" s="10">
        <v>4</v>
      </c>
      <c r="C1860" s="10">
        <v>20</v>
      </c>
      <c r="D1860" s="10" t="s">
        <v>1</v>
      </c>
      <c r="E1860" s="15">
        <f>1.898+0.433+0.241+0.326-0.02-0.014-0.062-0.061-0.035-0.022-0.093+0.05-0.032-0.04-0.027-0.004-0.018-0.014-0.012-0.032-0.014</f>
        <v>2.4480000000000008</v>
      </c>
    </row>
    <row r="1861" spans="1:5" x14ac:dyDescent="0.3">
      <c r="A1861" s="10">
        <v>127</v>
      </c>
      <c r="B1861" s="10">
        <v>4</v>
      </c>
      <c r="C1861" s="10" t="s">
        <v>26</v>
      </c>
      <c r="D1861" s="10" t="s">
        <v>64</v>
      </c>
      <c r="E1861" s="15">
        <f>5.162+0.118-0.027-0.009-0.006-0.12-0.004-0.074-0.003</f>
        <v>5.0369999999999999</v>
      </c>
    </row>
    <row r="1862" spans="1:5" x14ac:dyDescent="0.3">
      <c r="A1862" s="10">
        <v>127</v>
      </c>
      <c r="B1862" s="10">
        <v>5</v>
      </c>
      <c r="C1862" s="10">
        <v>10</v>
      </c>
      <c r="D1862" s="10" t="s">
        <v>1</v>
      </c>
      <c r="E1862" s="15">
        <f>0.14-0.016-0.02-0.018-0.004</f>
        <v>8.2000000000000003E-2</v>
      </c>
    </row>
    <row r="1863" spans="1:5" x14ac:dyDescent="0.3">
      <c r="A1863" s="10">
        <v>127</v>
      </c>
      <c r="B1863" s="10">
        <v>5</v>
      </c>
      <c r="C1863" s="10">
        <v>20</v>
      </c>
      <c r="D1863" s="10" t="s">
        <v>1</v>
      </c>
      <c r="E1863" s="15">
        <f>0.67+3.37+0.4+0.718+0.08-0.021-0.027-0.049-0.009-0.004-0.004+0.015-0.025-0.017-0.009-0.05-0.151-0.017-0.457+0.132-0.049-0.054-0.033-0.003</f>
        <v>4.4059999999999979</v>
      </c>
    </row>
    <row r="1864" spans="1:5" x14ac:dyDescent="0.3">
      <c r="A1864" s="10">
        <v>127</v>
      </c>
      <c r="B1864" s="10">
        <v>5</v>
      </c>
      <c r="C1864" s="10" t="s">
        <v>26</v>
      </c>
      <c r="D1864" s="10" t="s">
        <v>1</v>
      </c>
      <c r="E1864" s="15">
        <f>0.706-0.18-0.05-0.017-0.017-0.051+4.856-0.028+0.285-0.152+0.575-0.025-0.14+0.265-2.34-2.62-0.285-0.287-0.14</f>
        <v>0.35500000000000026</v>
      </c>
    </row>
    <row r="1865" spans="1:5" x14ac:dyDescent="0.3">
      <c r="A1865" s="10">
        <v>127</v>
      </c>
      <c r="B1865" s="10">
        <v>5</v>
      </c>
      <c r="C1865" s="10" t="s">
        <v>26</v>
      </c>
      <c r="D1865" s="10" t="s">
        <v>1</v>
      </c>
      <c r="E1865" s="15">
        <f>2.34+2.62+0.285+0.287-0.018-0.061+3.593-0.419-0.104-0.103-0.019-0.046-0.151</f>
        <v>8.2040000000000006</v>
      </c>
    </row>
    <row r="1866" spans="1:5" x14ac:dyDescent="0.3">
      <c r="A1866" s="10">
        <v>127</v>
      </c>
      <c r="B1866" s="10">
        <v>5</v>
      </c>
      <c r="C1866" s="10">
        <v>45</v>
      </c>
      <c r="D1866" s="10" t="s">
        <v>1</v>
      </c>
      <c r="E1866" s="15">
        <f>0.055+2.57-0.026-0.08-0.052</f>
        <v>2.4670000000000001</v>
      </c>
    </row>
    <row r="1867" spans="1:5" x14ac:dyDescent="0.3">
      <c r="A1867" s="10">
        <v>127</v>
      </c>
      <c r="B1867" s="10">
        <v>6</v>
      </c>
      <c r="C1867" s="10">
        <v>20</v>
      </c>
      <c r="D1867" s="10" t="s">
        <v>1</v>
      </c>
      <c r="E1867" s="15">
        <f>0.157-0.056+0.821+0.022-0.081+0.108-0.036-0.053+0.135-0.045+0.053-0.037-0.022-0.469-0.019-0.032-0.006</f>
        <v>0.43999999999999984</v>
      </c>
    </row>
    <row r="1868" spans="1:5" x14ac:dyDescent="0.3">
      <c r="A1868" s="10">
        <v>127</v>
      </c>
      <c r="B1868" s="10">
        <v>6</v>
      </c>
      <c r="C1868" s="10">
        <v>20</v>
      </c>
      <c r="D1868" s="10" t="s">
        <v>1</v>
      </c>
      <c r="E1868" s="15">
        <f>2.29-0.045-0.067-0.174-0.076-0.076-0.042-0.127-0.024</f>
        <v>1.6589999999999998</v>
      </c>
    </row>
    <row r="1869" spans="1:5" x14ac:dyDescent="0.3">
      <c r="A1869" s="10">
        <v>127</v>
      </c>
      <c r="B1869" s="10">
        <v>6</v>
      </c>
      <c r="C1869" s="10" t="s">
        <v>26</v>
      </c>
      <c r="D1869" s="10" t="s">
        <v>1</v>
      </c>
      <c r="E1869" s="15">
        <f>0.348+0.164+0.183-0.047-0.02-0.006-0.009</f>
        <v>0.61299999999999999</v>
      </c>
    </row>
    <row r="1870" spans="1:5" x14ac:dyDescent="0.3">
      <c r="A1870" s="10">
        <v>127</v>
      </c>
      <c r="B1870" s="10">
        <v>6</v>
      </c>
      <c r="C1870" s="10" t="s">
        <v>26</v>
      </c>
      <c r="D1870" s="10" t="s">
        <v>64</v>
      </c>
      <c r="E1870" s="15">
        <f>5.394-0.04</f>
        <v>5.3540000000000001</v>
      </c>
    </row>
    <row r="1871" spans="1:5" x14ac:dyDescent="0.3">
      <c r="A1871" s="10">
        <v>127</v>
      </c>
      <c r="B1871" s="10">
        <v>6</v>
      </c>
      <c r="C1871" s="10" t="s">
        <v>28</v>
      </c>
      <c r="D1871" s="10" t="s">
        <v>1</v>
      </c>
      <c r="E1871" s="15">
        <f>3.712-0.012</f>
        <v>3.7</v>
      </c>
    </row>
    <row r="1872" spans="1:5" x14ac:dyDescent="0.3">
      <c r="A1872" s="8">
        <v>127</v>
      </c>
      <c r="B1872" s="8">
        <v>6</v>
      </c>
      <c r="C1872" s="8" t="s">
        <v>28</v>
      </c>
      <c r="D1872" s="8" t="s">
        <v>1</v>
      </c>
      <c r="E1872" s="15">
        <f>5-3.712</f>
        <v>1.2879999999999998</v>
      </c>
    </row>
    <row r="1873" spans="1:5" x14ac:dyDescent="0.3">
      <c r="A1873" s="10">
        <v>127</v>
      </c>
      <c r="B1873" s="10">
        <v>6.5</v>
      </c>
      <c r="C1873" s="10">
        <v>45</v>
      </c>
      <c r="D1873" s="10" t="s">
        <v>1</v>
      </c>
      <c r="E1873" s="15">
        <f>0.518+0.3-0.064-0.281-0.127</f>
        <v>0.34599999999999997</v>
      </c>
    </row>
    <row r="1874" spans="1:5" x14ac:dyDescent="0.3">
      <c r="A1874" s="10">
        <v>127</v>
      </c>
      <c r="B1874" s="10">
        <v>7</v>
      </c>
      <c r="C1874" s="10">
        <v>45</v>
      </c>
      <c r="D1874" s="10" t="s">
        <v>1</v>
      </c>
      <c r="E1874" s="15">
        <v>0.37</v>
      </c>
    </row>
    <row r="1875" spans="1:5" x14ac:dyDescent="0.3">
      <c r="A1875" s="24">
        <v>127</v>
      </c>
      <c r="B1875" s="24">
        <v>8</v>
      </c>
      <c r="C1875" s="24">
        <v>20</v>
      </c>
      <c r="D1875" s="24" t="s">
        <v>1</v>
      </c>
      <c r="E1875" s="25">
        <f>2.796+0.178-0.026+2.044-0.153-0.026-0.112-0.031-0.015-0.076-0.046-0.026-0.026-0.124-0.027-0.032-0.074-0.051-0.027-0.22-0.026-0.004</f>
        <v>3.8960000000000017</v>
      </c>
    </row>
    <row r="1876" spans="1:5" x14ac:dyDescent="0.3">
      <c r="A1876" s="10">
        <v>127</v>
      </c>
      <c r="B1876" s="10">
        <v>8</v>
      </c>
      <c r="C1876" s="10" t="s">
        <v>26</v>
      </c>
      <c r="D1876" s="10" t="s">
        <v>1</v>
      </c>
      <c r="E1876" s="15">
        <f>2.544+2.66-0.87-0.038+0.193-0.46-3.83</f>
        <v>0.19899999999999984</v>
      </c>
    </row>
    <row r="1877" spans="1:5" x14ac:dyDescent="0.3">
      <c r="A1877" s="10">
        <v>127</v>
      </c>
      <c r="B1877" s="10">
        <v>8</v>
      </c>
      <c r="C1877" s="10" t="s">
        <v>26</v>
      </c>
      <c r="D1877" s="10" t="s">
        <v>64</v>
      </c>
      <c r="E1877" s="15">
        <f>5.526-3.175-0.214-0.437+0.191-0.026+1.674+0.2-0.232-0.076-0.039-0.073-0.026</f>
        <v>3.2929999999999997</v>
      </c>
    </row>
    <row r="1878" spans="1:5" x14ac:dyDescent="0.3">
      <c r="A1878" s="12">
        <v>127</v>
      </c>
      <c r="B1878" s="12">
        <v>8</v>
      </c>
      <c r="C1878" s="12" t="s">
        <v>26</v>
      </c>
      <c r="D1878" s="8" t="s">
        <v>1</v>
      </c>
      <c r="E1878" s="15">
        <f>0.86-0.2</f>
        <v>0.65999999999999992</v>
      </c>
    </row>
    <row r="1879" spans="1:5" x14ac:dyDescent="0.3">
      <c r="A1879" s="10">
        <v>127</v>
      </c>
      <c r="B1879" s="10">
        <v>8</v>
      </c>
      <c r="C1879" s="10">
        <v>35</v>
      </c>
      <c r="D1879" s="10" t="s">
        <v>1</v>
      </c>
      <c r="E1879" s="15">
        <v>0.432</v>
      </c>
    </row>
    <row r="1880" spans="1:5" x14ac:dyDescent="0.3">
      <c r="A1880" s="10">
        <v>127</v>
      </c>
      <c r="B1880" s="10">
        <v>8</v>
      </c>
      <c r="C1880" s="10">
        <v>45</v>
      </c>
      <c r="D1880" s="10" t="s">
        <v>1</v>
      </c>
      <c r="E1880" s="15">
        <f>0.585-0.049-0.148-0.097</f>
        <v>0.29099999999999993</v>
      </c>
    </row>
    <row r="1881" spans="1:5" x14ac:dyDescent="0.3">
      <c r="A1881" s="10">
        <v>127</v>
      </c>
      <c r="B1881" s="10">
        <v>8.8000000000000007</v>
      </c>
      <c r="C1881" s="10" t="s">
        <v>21</v>
      </c>
      <c r="D1881" s="10" t="s">
        <v>64</v>
      </c>
      <c r="E1881" s="15">
        <f>0.61+0.145-0.304-0.171</f>
        <v>0.28000000000000003</v>
      </c>
    </row>
    <row r="1882" spans="1:5" x14ac:dyDescent="0.3">
      <c r="A1882" s="10">
        <v>127</v>
      </c>
      <c r="B1882" s="10">
        <v>9</v>
      </c>
      <c r="C1882" s="10">
        <v>20</v>
      </c>
      <c r="D1882" s="10" t="s">
        <v>1</v>
      </c>
      <c r="E1882" s="15">
        <f>9.048-0.055-0.029-0.016-0.056-0.055-0.028-0.02-0.055-0.255</f>
        <v>8.479000000000001</v>
      </c>
    </row>
    <row r="1883" spans="1:5" x14ac:dyDescent="0.3">
      <c r="A1883" s="10">
        <v>127</v>
      </c>
      <c r="B1883" s="10">
        <v>9</v>
      </c>
      <c r="C1883" s="10">
        <v>20</v>
      </c>
      <c r="D1883" s="10" t="s">
        <v>4</v>
      </c>
      <c r="E1883" s="15">
        <f>1.446+0.126-0.196</f>
        <v>1.3760000000000001</v>
      </c>
    </row>
    <row r="1884" spans="1:5" x14ac:dyDescent="0.3">
      <c r="A1884" s="10">
        <v>127</v>
      </c>
      <c r="B1884" s="10">
        <v>9</v>
      </c>
      <c r="C1884" s="10">
        <v>20</v>
      </c>
      <c r="D1884" s="10" t="s">
        <v>4</v>
      </c>
      <c r="E1884" s="15">
        <f>1.005+0.03-0.407-0.211-0.029-0.029-0.088</f>
        <v>0.27099999999999991</v>
      </c>
    </row>
    <row r="1885" spans="1:5" x14ac:dyDescent="0.3">
      <c r="A1885" s="10">
        <v>127</v>
      </c>
      <c r="B1885" s="10">
        <v>9</v>
      </c>
      <c r="C1885" s="10">
        <v>45</v>
      </c>
      <c r="D1885" s="10" t="s">
        <v>1</v>
      </c>
      <c r="E1885" s="15">
        <f>2.946-0.27+0.159-0.544-0.058-0.103</f>
        <v>2.13</v>
      </c>
    </row>
    <row r="1886" spans="1:5" x14ac:dyDescent="0.3">
      <c r="A1886" s="8">
        <v>127</v>
      </c>
      <c r="B1886" s="8">
        <v>9</v>
      </c>
      <c r="C1886" s="8" t="s">
        <v>29</v>
      </c>
      <c r="D1886" s="8" t="s">
        <v>3</v>
      </c>
      <c r="E1886" s="9">
        <f>0.197+0.29+0.004-0.196-0.005-0.099</f>
        <v>0.19099999999999998</v>
      </c>
    </row>
    <row r="1887" spans="1:5" x14ac:dyDescent="0.3">
      <c r="A1887" s="10">
        <v>127</v>
      </c>
      <c r="B1887" s="10">
        <v>9.1999999999999993</v>
      </c>
      <c r="C1887" s="10" t="s">
        <v>14</v>
      </c>
      <c r="D1887" s="10" t="s">
        <v>18</v>
      </c>
      <c r="E1887" s="15">
        <f>20.086-4.793-5.12-0.271+0.275-0.271</f>
        <v>9.905999999999997</v>
      </c>
    </row>
    <row r="1888" spans="1:5" x14ac:dyDescent="0.3">
      <c r="A1888" s="10">
        <v>127</v>
      </c>
      <c r="B1888" s="10">
        <v>10</v>
      </c>
      <c r="C1888" s="10">
        <v>20</v>
      </c>
      <c r="D1888" s="10" t="s">
        <v>1</v>
      </c>
      <c r="E1888" s="15">
        <f>4.428-0.062-0.538-0.047+0.78-0.271-0.151-1.075-0.101-0.062-0.017-0.265-0.062-0.031</f>
        <v>2.5259999999999994</v>
      </c>
    </row>
    <row r="1889" spans="1:5" x14ac:dyDescent="0.3">
      <c r="A1889" s="10">
        <v>127</v>
      </c>
      <c r="B1889" s="10">
        <v>10</v>
      </c>
      <c r="C1889" s="10" t="s">
        <v>26</v>
      </c>
      <c r="D1889" s="10" t="s">
        <v>1</v>
      </c>
      <c r="E1889" s="15">
        <f>4.25+1.06-0.091-1.639-0.056-0.26-0.065-0.091-0.541-0.274-2.32+0.061</f>
        <v>3.4000000000000308E-2</v>
      </c>
    </row>
    <row r="1890" spans="1:5" x14ac:dyDescent="0.3">
      <c r="A1890" s="10">
        <v>127</v>
      </c>
      <c r="B1890" s="10">
        <v>10</v>
      </c>
      <c r="C1890" s="10" t="s">
        <v>26</v>
      </c>
      <c r="D1890" s="10" t="s">
        <v>1</v>
      </c>
      <c r="E1890" s="15">
        <f>0.86-0.007-0.671+1.65-0.04-0.097-0.011-0.07+0.24</f>
        <v>1.8539999999999999</v>
      </c>
    </row>
    <row r="1891" spans="1:5" x14ac:dyDescent="0.3">
      <c r="A1891" s="10">
        <v>127</v>
      </c>
      <c r="B1891" s="10">
        <v>10</v>
      </c>
      <c r="C1891" s="10" t="s">
        <v>26</v>
      </c>
      <c r="D1891" s="10" t="s">
        <v>64</v>
      </c>
      <c r="E1891" s="15">
        <f>1.72+7.304-0.269-0.55</f>
        <v>8.2050000000000001</v>
      </c>
    </row>
    <row r="1892" spans="1:5" x14ac:dyDescent="0.3">
      <c r="A1892" s="10">
        <v>127</v>
      </c>
      <c r="B1892" s="10">
        <v>10</v>
      </c>
      <c r="C1892" s="10">
        <v>35</v>
      </c>
      <c r="D1892" s="10" t="s">
        <v>1</v>
      </c>
      <c r="E1892" s="15">
        <f>2.143-0.061-0.477-0.575-0.273+5.072</f>
        <v>5.8289999999999997</v>
      </c>
    </row>
    <row r="1893" spans="1:5" x14ac:dyDescent="0.3">
      <c r="A1893" s="10">
        <v>127</v>
      </c>
      <c r="B1893" s="10">
        <v>10</v>
      </c>
      <c r="C1893" s="10" t="s">
        <v>30</v>
      </c>
      <c r="D1893" s="10" t="s">
        <v>1</v>
      </c>
      <c r="E1893" s="15">
        <f>0.218+0.66-0.033-0.012-0.033-0.064-0.033+5.675-0.065-0.05</f>
        <v>6.2629999999999999</v>
      </c>
    </row>
    <row r="1894" spans="1:5" x14ac:dyDescent="0.3">
      <c r="A1894" s="8">
        <v>127</v>
      </c>
      <c r="B1894" s="8">
        <v>10</v>
      </c>
      <c r="C1894" s="8" t="s">
        <v>30</v>
      </c>
      <c r="D1894" s="8" t="s">
        <v>1</v>
      </c>
      <c r="E1894" s="9">
        <v>5</v>
      </c>
    </row>
    <row r="1895" spans="1:5" x14ac:dyDescent="0.3">
      <c r="A1895" s="10">
        <v>127</v>
      </c>
      <c r="B1895" s="10">
        <v>11</v>
      </c>
      <c r="C1895" s="10" t="s">
        <v>28</v>
      </c>
      <c r="D1895" s="10" t="s">
        <v>1</v>
      </c>
      <c r="E1895" s="15">
        <f>5.055-0.397-1.191+0.101-0.106-0.196-1.002-0.198-0.091-0.072-0.2-0.097-0.199-0.018-0.197</f>
        <v>1.1919999999999993</v>
      </c>
    </row>
    <row r="1896" spans="1:5" x14ac:dyDescent="0.3">
      <c r="A1896" s="10">
        <v>127</v>
      </c>
      <c r="B1896" s="10">
        <v>12</v>
      </c>
      <c r="C1896" s="10">
        <v>20</v>
      </c>
      <c r="D1896" s="10" t="s">
        <v>1</v>
      </c>
      <c r="E1896" s="15">
        <f>3.025+0.503-0.037-0.122-0.119-0.008-0.031-0.036-0.269-0.014-0.019-0.021-0.525-0.087-0.026-0.019-0.258-0.026-0.257-0.794-0.697+0.368+0.06-0.04-0.139+5.132-0.085-0.162-0.06-0.009-0.007-0.025-0.037</f>
        <v>5.1589999999999998</v>
      </c>
    </row>
    <row r="1897" spans="1:5" x14ac:dyDescent="0.3">
      <c r="A1897" s="10">
        <v>127</v>
      </c>
      <c r="B1897" s="10">
        <v>12</v>
      </c>
      <c r="C1897" s="10" t="s">
        <v>26</v>
      </c>
      <c r="D1897" s="10" t="s">
        <v>64</v>
      </c>
      <c r="E1897" s="15">
        <f>7.33-0.823-1.678-0.529-0.062-0.832-1.834-0.212-0.107-0.02-0.279-0.545-0.065+7.227-0.081+3.127-0.09</f>
        <v>10.526999999999999</v>
      </c>
    </row>
    <row r="1898" spans="1:5" x14ac:dyDescent="0.3">
      <c r="A1898" s="10">
        <v>127</v>
      </c>
      <c r="B1898" s="10">
        <v>12</v>
      </c>
      <c r="C1898" s="10" t="s">
        <v>26</v>
      </c>
      <c r="D1898" s="10" t="s">
        <v>1</v>
      </c>
      <c r="E1898" s="15">
        <f>1.734-1.535</f>
        <v>0.19900000000000007</v>
      </c>
    </row>
    <row r="1899" spans="1:5" x14ac:dyDescent="0.3">
      <c r="A1899" s="10">
        <v>127</v>
      </c>
      <c r="B1899" s="10">
        <v>12</v>
      </c>
      <c r="C1899" s="10">
        <v>35</v>
      </c>
      <c r="D1899" s="10" t="s">
        <v>1</v>
      </c>
      <c r="E1899" s="15">
        <f>4.01+1.046-0.254</f>
        <v>4.8019999999999996</v>
      </c>
    </row>
    <row r="1900" spans="1:5" x14ac:dyDescent="0.3">
      <c r="A1900" s="10">
        <v>127</v>
      </c>
      <c r="B1900" s="10">
        <v>12</v>
      </c>
      <c r="C1900" s="10">
        <v>45</v>
      </c>
      <c r="D1900" s="10" t="s">
        <v>1</v>
      </c>
      <c r="E1900" s="15">
        <f>0.73-0.075-0.17+0.17</f>
        <v>0.65500000000000003</v>
      </c>
    </row>
    <row r="1901" spans="1:5" x14ac:dyDescent="0.3">
      <c r="A1901" s="10">
        <v>127</v>
      </c>
      <c r="B1901" s="10">
        <v>12</v>
      </c>
      <c r="C1901" s="10" t="s">
        <v>28</v>
      </c>
      <c r="D1901" s="10" t="s">
        <v>1</v>
      </c>
      <c r="E1901" s="15">
        <f>2.05+0.207-0.074-0.078-0.152-2.088+0.147</f>
        <v>1.1999999999999983E-2</v>
      </c>
    </row>
    <row r="1902" spans="1:5" x14ac:dyDescent="0.3">
      <c r="A1902" s="10">
        <v>127</v>
      </c>
      <c r="B1902" s="10">
        <v>12</v>
      </c>
      <c r="C1902" s="10" t="s">
        <v>131</v>
      </c>
      <c r="D1902" s="10" t="s">
        <v>1</v>
      </c>
      <c r="E1902" s="15">
        <v>5.5990000000000002</v>
      </c>
    </row>
    <row r="1903" spans="1:5" x14ac:dyDescent="0.3">
      <c r="A1903" s="10">
        <v>127</v>
      </c>
      <c r="B1903" s="10">
        <v>12</v>
      </c>
      <c r="C1903" s="10" t="s">
        <v>30</v>
      </c>
      <c r="D1903" s="10" t="s">
        <v>1</v>
      </c>
      <c r="E1903" s="15">
        <f>2.02+2.01-0.903-0.007-0.288-0.306</f>
        <v>2.5259999999999994</v>
      </c>
    </row>
    <row r="1904" spans="1:5" x14ac:dyDescent="0.3">
      <c r="A1904" s="10">
        <v>127</v>
      </c>
      <c r="B1904" s="10">
        <v>12</v>
      </c>
      <c r="C1904" s="10" t="s">
        <v>30</v>
      </c>
      <c r="D1904" s="10" t="s">
        <v>1</v>
      </c>
      <c r="E1904" s="15">
        <f>5-2.02-2.01</f>
        <v>0.9700000000000002</v>
      </c>
    </row>
    <row r="1905" spans="1:5" x14ac:dyDescent="0.3">
      <c r="A1905" s="10">
        <v>127</v>
      </c>
      <c r="B1905" s="10">
        <v>13</v>
      </c>
      <c r="C1905" s="10">
        <v>45</v>
      </c>
      <c r="D1905" s="10" t="s">
        <v>1</v>
      </c>
      <c r="E1905" s="15">
        <f>2.606+2.097-0.054-0.076-0.076-0.076</f>
        <v>4.4210000000000003</v>
      </c>
    </row>
    <row r="1906" spans="1:5" x14ac:dyDescent="0.3">
      <c r="A1906" s="10">
        <v>127</v>
      </c>
      <c r="B1906" s="10">
        <v>14</v>
      </c>
      <c r="C1906" s="10">
        <v>20</v>
      </c>
      <c r="D1906" s="10" t="s">
        <v>1</v>
      </c>
      <c r="E1906" s="15">
        <f>3.64-0.065+1.808-0.064-0.269-0.268-0.141-0.111-0.058-0.042-0.038</f>
        <v>4.3920000000000003</v>
      </c>
    </row>
    <row r="1907" spans="1:5" x14ac:dyDescent="0.3">
      <c r="A1907" s="8">
        <v>127</v>
      </c>
      <c r="B1907" s="8">
        <v>14</v>
      </c>
      <c r="C1907" s="8" t="s">
        <v>26</v>
      </c>
      <c r="D1907" s="8" t="s">
        <v>1</v>
      </c>
      <c r="E1907" s="9">
        <f>0.816-0.423+0.592</f>
        <v>0.98499999999999988</v>
      </c>
    </row>
    <row r="1908" spans="1:5" x14ac:dyDescent="0.3">
      <c r="A1908" s="10">
        <v>127</v>
      </c>
      <c r="B1908" s="10">
        <v>14</v>
      </c>
      <c r="C1908" s="10" t="s">
        <v>26</v>
      </c>
      <c r="D1908" s="10" t="s">
        <v>64</v>
      </c>
      <c r="E1908" s="15">
        <f>6.462-0.082-0.266-0.006-0.081-0.78-0.241-0.249-0.267-0.265-0.362-0.266-0.01-0.086-0.265-0.263-0.101-0.023-0.09-0.06-0.08</f>
        <v>2.6189999999999998</v>
      </c>
    </row>
    <row r="1909" spans="1:5" x14ac:dyDescent="0.3">
      <c r="A1909" s="10">
        <v>127</v>
      </c>
      <c r="B1909" s="10">
        <v>14</v>
      </c>
      <c r="C1909" s="10">
        <v>35</v>
      </c>
      <c r="D1909" s="10" t="s">
        <v>1</v>
      </c>
      <c r="E1909" s="15">
        <f>0.52+0.16-0.038-0.047-0.076-0.162</f>
        <v>0.35699999999999998</v>
      </c>
    </row>
    <row r="1910" spans="1:5" x14ac:dyDescent="0.3">
      <c r="A1910" s="10">
        <v>127</v>
      </c>
      <c r="B1910" s="10">
        <v>14</v>
      </c>
      <c r="C1910" s="10">
        <v>35</v>
      </c>
      <c r="D1910" s="10" t="s">
        <v>1</v>
      </c>
      <c r="E1910" s="15">
        <f>3.11-0.526</f>
        <v>2.5839999999999996</v>
      </c>
    </row>
    <row r="1911" spans="1:5" x14ac:dyDescent="0.3">
      <c r="A1911" s="10">
        <v>127</v>
      </c>
      <c r="B1911" s="10">
        <v>14</v>
      </c>
      <c r="C1911" s="10">
        <v>45</v>
      </c>
      <c r="D1911" s="10" t="s">
        <v>1</v>
      </c>
      <c r="E1911" s="15">
        <f>1.326+0.53+0.266-0.078-0.189-0.063-0.031</f>
        <v>1.7610000000000001</v>
      </c>
    </row>
    <row r="1912" spans="1:5" x14ac:dyDescent="0.3">
      <c r="A1912" s="10">
        <v>127</v>
      </c>
      <c r="B1912" s="10">
        <v>14</v>
      </c>
      <c r="C1912" s="10" t="s">
        <v>36</v>
      </c>
      <c r="D1912" s="10" t="s">
        <v>1</v>
      </c>
      <c r="E1912" s="15">
        <f>5.97-0.191</f>
        <v>5.7789999999999999</v>
      </c>
    </row>
    <row r="1913" spans="1:5" x14ac:dyDescent="0.3">
      <c r="A1913" s="10">
        <v>127</v>
      </c>
      <c r="B1913" s="10">
        <v>14</v>
      </c>
      <c r="C1913" s="10" t="s">
        <v>28</v>
      </c>
      <c r="D1913" s="10" t="s">
        <v>1</v>
      </c>
      <c r="E1913" s="15">
        <f>4.865-0.362-0.362-0.376+0.23-0.008-0.047</f>
        <v>3.94</v>
      </c>
    </row>
    <row r="1914" spans="1:5" x14ac:dyDescent="0.3">
      <c r="A1914" s="10">
        <v>127</v>
      </c>
      <c r="B1914" s="10">
        <v>14</v>
      </c>
      <c r="C1914" s="10" t="s">
        <v>30</v>
      </c>
      <c r="D1914" s="10" t="s">
        <v>1</v>
      </c>
      <c r="E1914" s="15">
        <f>5.692-0.387-1.13-0.39-0.38-1.903-0.085-0.383-0.042-0.024+6.505+1.428-0.165-0.066-0.162-1.163-0.836-0.51-0.331-0.09-1.389-0.082-0.02-0.006-0.006-0.061-0.233-0.24-0.385-0.236-0.106-0.022-0.07-0.236-0.122-0.331-0.205-0.358-0.106-0.011-0.089-1.154+0.02</f>
        <v>0.12999999999999987</v>
      </c>
    </row>
    <row r="1915" spans="1:5" x14ac:dyDescent="0.3">
      <c r="A1915" s="10">
        <v>127</v>
      </c>
      <c r="B1915" s="10">
        <v>14</v>
      </c>
      <c r="C1915" s="10" t="s">
        <v>30</v>
      </c>
      <c r="D1915" s="10" t="s">
        <v>1</v>
      </c>
      <c r="E1915" s="15">
        <f>1.825+2.145+1.72+1.154</f>
        <v>6.8439999999999994</v>
      </c>
    </row>
    <row r="1916" spans="1:5" x14ac:dyDescent="0.3">
      <c r="A1916" s="10">
        <v>127</v>
      </c>
      <c r="B1916" s="10">
        <v>14</v>
      </c>
      <c r="C1916" s="10" t="s">
        <v>30</v>
      </c>
      <c r="D1916" s="10" t="s">
        <v>1</v>
      </c>
      <c r="E1916" s="15">
        <f>2.14-1.72</f>
        <v>0.42000000000000015</v>
      </c>
    </row>
    <row r="1917" spans="1:5" x14ac:dyDescent="0.3">
      <c r="A1917" s="10">
        <v>127</v>
      </c>
      <c r="B1917" s="10">
        <v>16</v>
      </c>
      <c r="C1917" s="10">
        <v>20</v>
      </c>
      <c r="D1917" s="10" t="s">
        <v>1</v>
      </c>
      <c r="E1917" s="15">
        <f>6.605-0.103-0.071-0.016-0.116+1.094-0.071-1.094-0.094-0.139-0.083-0.028-0.058-0.268-0.797-0.26-0.139-0.026-0.14-0.266-0.053-0.025-0.059-0.018-0.52-0.044-0.267-0.024-0.094-0.384-0.303-1.865-0.024-0.186</f>
        <v>6.4000000000002888E-2</v>
      </c>
    </row>
    <row r="1918" spans="1:5" x14ac:dyDescent="0.3">
      <c r="A1918" s="10">
        <v>127</v>
      </c>
      <c r="B1918" s="10">
        <v>16</v>
      </c>
      <c r="C1918" s="10">
        <v>20</v>
      </c>
      <c r="D1918" s="10" t="s">
        <v>1</v>
      </c>
      <c r="E1918" s="15">
        <f>5.018+1.994-0.244-0.014-0.061-0.182-0.026-0.152-0.218-0.048-0.092</f>
        <v>5.9749999999999996</v>
      </c>
    </row>
    <row r="1919" spans="1:5" x14ac:dyDescent="0.3">
      <c r="A1919" s="10">
        <v>127</v>
      </c>
      <c r="B1919" s="10">
        <v>16</v>
      </c>
      <c r="C1919" s="10" t="s">
        <v>26</v>
      </c>
      <c r="D1919" s="10" t="s">
        <v>1</v>
      </c>
      <c r="E1919" s="15">
        <f>7.748-0.276-0.019-0.049-0.211-0.797-0.094-0.268-0.266-0.048-1.096-0.261-2.15-0.152-0.048-0.154-0.186-0.14-1.604+0.205-0.017-0.025-0.077+0.002</f>
        <v>1.6999999999999363E-2</v>
      </c>
    </row>
    <row r="1920" spans="1:5" x14ac:dyDescent="0.3">
      <c r="A1920" s="12">
        <v>127</v>
      </c>
      <c r="B1920" s="12">
        <v>16</v>
      </c>
      <c r="C1920" s="12" t="s">
        <v>26</v>
      </c>
      <c r="D1920" s="8" t="s">
        <v>1</v>
      </c>
      <c r="E1920" s="15">
        <f>1.168-0.472-0.046-0.192-0.073-0.095</f>
        <v>0.28999999999999992</v>
      </c>
    </row>
    <row r="1921" spans="1:5" x14ac:dyDescent="0.3">
      <c r="A1921" s="8">
        <v>127</v>
      </c>
      <c r="B1921" s="8">
        <v>16</v>
      </c>
      <c r="C1921" s="8" t="s">
        <v>26</v>
      </c>
      <c r="D1921" s="8" t="s">
        <v>64</v>
      </c>
      <c r="E1921" s="9">
        <f>3.878+1.46+1.218-0.092</f>
        <v>6.4640000000000004</v>
      </c>
    </row>
    <row r="1922" spans="1:5" x14ac:dyDescent="0.3">
      <c r="A1922" s="10">
        <v>127</v>
      </c>
      <c r="B1922" s="10">
        <v>16</v>
      </c>
      <c r="C1922" s="10">
        <v>35</v>
      </c>
      <c r="D1922" s="10" t="s">
        <v>1</v>
      </c>
      <c r="E1922" s="15">
        <f>3.74+2.678-0.576-0.269-0.271-0.056-0.056-0.069-0.069</f>
        <v>5.0520000000000005</v>
      </c>
    </row>
    <row r="1923" spans="1:5" x14ac:dyDescent="0.3">
      <c r="A1923" s="10">
        <v>127</v>
      </c>
      <c r="B1923" s="10">
        <v>16</v>
      </c>
      <c r="C1923" s="10">
        <v>45</v>
      </c>
      <c r="D1923" s="10" t="s">
        <v>1</v>
      </c>
      <c r="E1923" s="15">
        <f>5-0.227-0.409-0.089-0.891-0.122-0.024-0.857-0.218-0.406-0.046-0.62</f>
        <v>1.0909999999999993</v>
      </c>
    </row>
    <row r="1924" spans="1:5" x14ac:dyDescent="0.3">
      <c r="A1924" s="10">
        <v>127</v>
      </c>
      <c r="B1924" s="10">
        <v>16</v>
      </c>
      <c r="C1924" s="10" t="s">
        <v>37</v>
      </c>
      <c r="D1924" s="10" t="s">
        <v>155</v>
      </c>
      <c r="E1924" s="15">
        <v>3.9460000000000002</v>
      </c>
    </row>
    <row r="1925" spans="1:5" x14ac:dyDescent="0.3">
      <c r="A1925" s="10">
        <v>127</v>
      </c>
      <c r="B1925" s="10">
        <v>16</v>
      </c>
      <c r="C1925" s="10" t="s">
        <v>36</v>
      </c>
      <c r="D1925" s="10" t="s">
        <v>1</v>
      </c>
      <c r="E1925" s="15">
        <v>4.78</v>
      </c>
    </row>
    <row r="1926" spans="1:5" x14ac:dyDescent="0.3">
      <c r="A1926" s="10">
        <v>127</v>
      </c>
      <c r="B1926" s="10">
        <v>16</v>
      </c>
      <c r="C1926" s="10" t="s">
        <v>28</v>
      </c>
      <c r="D1926" s="10" t="s">
        <v>1</v>
      </c>
      <c r="E1926" s="15">
        <f>3.648-0.351-1.265-0.335-0.098-0.334-0.334-0.135-0.335-0.047-0.104</f>
        <v>0.30999999999999983</v>
      </c>
    </row>
    <row r="1927" spans="1:5" x14ac:dyDescent="0.3">
      <c r="A1927" s="10">
        <v>127</v>
      </c>
      <c r="B1927" s="10">
        <v>16</v>
      </c>
      <c r="C1927" s="10" t="s">
        <v>28</v>
      </c>
      <c r="D1927" s="10" t="s">
        <v>1</v>
      </c>
      <c r="E1927" s="15">
        <v>5.56</v>
      </c>
    </row>
    <row r="1928" spans="1:5" x14ac:dyDescent="0.3">
      <c r="A1928" s="10">
        <v>127</v>
      </c>
      <c r="B1928" s="10">
        <v>16</v>
      </c>
      <c r="C1928" s="10" t="s">
        <v>30</v>
      </c>
      <c r="D1928" s="10" t="s">
        <v>1</v>
      </c>
      <c r="E1928" s="15">
        <f>5.275-0.033-0.091</f>
        <v>5.1509999999999998</v>
      </c>
    </row>
    <row r="1929" spans="1:5" x14ac:dyDescent="0.3">
      <c r="A1929" s="10">
        <v>127</v>
      </c>
      <c r="B1929" s="10">
        <v>17</v>
      </c>
      <c r="C1929" s="10">
        <v>35</v>
      </c>
      <c r="D1929" s="10" t="s">
        <v>1</v>
      </c>
      <c r="E1929" s="15">
        <f>1.83-0.307</f>
        <v>1.5230000000000001</v>
      </c>
    </row>
    <row r="1930" spans="1:5" x14ac:dyDescent="0.3">
      <c r="A1930" s="10">
        <v>127</v>
      </c>
      <c r="B1930" s="10">
        <v>18</v>
      </c>
      <c r="C1930" s="10" t="s">
        <v>28</v>
      </c>
      <c r="D1930" s="10" t="s">
        <v>1</v>
      </c>
      <c r="E1930" s="15">
        <f>5.405-0.919-0.465+0.116-0.457-0.018-0.928-0.101-0.342</f>
        <v>2.2910000000000008</v>
      </c>
    </row>
    <row r="1931" spans="1:5" x14ac:dyDescent="0.3">
      <c r="A1931" s="10">
        <v>127</v>
      </c>
      <c r="B1931" s="10">
        <v>18</v>
      </c>
      <c r="C1931" s="10" t="s">
        <v>30</v>
      </c>
      <c r="D1931" s="10" t="s">
        <v>1</v>
      </c>
      <c r="E1931" s="15">
        <f>19.547-0.026-0.374-0.065-0.3-1.752-0.066-2.1-4.86-0.051-0.31-0.051-0.369-0.989-0.108-2.111-2.116-0.346-1.407-0.352-0.217-0.426-0.026-0.43+0.173-0.188</f>
        <v>0.67999999999999883</v>
      </c>
    </row>
    <row r="1932" spans="1:5" x14ac:dyDescent="0.3">
      <c r="A1932" s="10">
        <v>127</v>
      </c>
      <c r="B1932" s="10">
        <v>18</v>
      </c>
      <c r="C1932" s="10" t="s">
        <v>30</v>
      </c>
      <c r="D1932" s="10" t="s">
        <v>1</v>
      </c>
      <c r="E1932" s="15">
        <f>2.715-0.028-0.178-0.026-0.053-0.112+2.715-0.153-0.24</f>
        <v>4.6399999999999997</v>
      </c>
    </row>
    <row r="1933" spans="1:5" x14ac:dyDescent="0.3">
      <c r="A1933" s="8">
        <v>127</v>
      </c>
      <c r="B1933" s="8">
        <v>20</v>
      </c>
      <c r="C1933" s="8">
        <v>20</v>
      </c>
      <c r="D1933" s="8" t="s">
        <v>1</v>
      </c>
      <c r="E1933" s="9">
        <v>5</v>
      </c>
    </row>
    <row r="1934" spans="1:5" x14ac:dyDescent="0.3">
      <c r="A1934" s="10">
        <v>127</v>
      </c>
      <c r="B1934" s="10">
        <v>20</v>
      </c>
      <c r="C1934" s="10">
        <v>35</v>
      </c>
      <c r="D1934" s="10" t="s">
        <v>1</v>
      </c>
      <c r="E1934" s="15">
        <f>0.75+6.983-0.083-0.253-1.153-3.846-1.187-0.189-0.193-0.39-0.388</f>
        <v>5.099999999999949E-2</v>
      </c>
    </row>
    <row r="1935" spans="1:5" x14ac:dyDescent="0.3">
      <c r="A1935" s="8">
        <v>127</v>
      </c>
      <c r="B1935" s="8">
        <v>20</v>
      </c>
      <c r="C1935" s="8">
        <v>35</v>
      </c>
      <c r="D1935" s="8" t="s">
        <v>1</v>
      </c>
      <c r="E1935" s="9">
        <v>5</v>
      </c>
    </row>
    <row r="1936" spans="1:5" x14ac:dyDescent="0.3">
      <c r="A1936" s="8">
        <v>127</v>
      </c>
      <c r="B1936" s="8">
        <v>20</v>
      </c>
      <c r="C1936" s="8">
        <v>45</v>
      </c>
      <c r="D1936" s="8" t="s">
        <v>1</v>
      </c>
      <c r="E1936" s="9">
        <v>5</v>
      </c>
    </row>
    <row r="1937" spans="1:5" x14ac:dyDescent="0.3">
      <c r="A1937" s="10">
        <v>127</v>
      </c>
      <c r="B1937" s="10">
        <v>20</v>
      </c>
      <c r="C1937" s="10" t="s">
        <v>28</v>
      </c>
      <c r="D1937" s="10" t="s">
        <v>1</v>
      </c>
      <c r="E1937" s="15">
        <f>5.715-0.072-0.045-0.029-0.099-0.173-0.101-0.125-1.45-0.702-0.365-0.09-1.086-0.165-0.254-0.087-0.059-0.72+2.365+2.275-1.31-0.056-0.439-0.392-0.055-1.155-1.164</f>
        <v>0.16199999999999948</v>
      </c>
    </row>
    <row r="1938" spans="1:5" x14ac:dyDescent="0.3">
      <c r="A1938" s="10">
        <v>127</v>
      </c>
      <c r="B1938" s="10">
        <v>20</v>
      </c>
      <c r="C1938" s="10" t="s">
        <v>28</v>
      </c>
      <c r="D1938" s="10" t="s">
        <v>1</v>
      </c>
      <c r="E1938" s="15">
        <f>2.685+2.7+1.155-0.447+1.164-0.891-0.926</f>
        <v>5.4399999999999995</v>
      </c>
    </row>
    <row r="1939" spans="1:5" x14ac:dyDescent="0.3">
      <c r="A1939" s="10">
        <v>127</v>
      </c>
      <c r="B1939" s="10">
        <v>20</v>
      </c>
      <c r="C1939" s="10" t="s">
        <v>30</v>
      </c>
      <c r="D1939" s="10" t="s">
        <v>1</v>
      </c>
      <c r="E1939" s="15">
        <f>6.745-0.048-0.057-0.016-0.048-0.163-0.047</f>
        <v>6.3659999999999997</v>
      </c>
    </row>
    <row r="1940" spans="1:5" x14ac:dyDescent="0.3">
      <c r="A1940" s="10">
        <v>127</v>
      </c>
      <c r="B1940" s="10">
        <v>20</v>
      </c>
      <c r="C1940" s="10" t="s">
        <v>106</v>
      </c>
      <c r="D1940" s="10" t="s">
        <v>1</v>
      </c>
      <c r="E1940" s="15">
        <f>2.41+2.475-0.109-4.09-0.083</f>
        <v>0.60299999999999998</v>
      </c>
    </row>
    <row r="1941" spans="1:5" x14ac:dyDescent="0.3">
      <c r="A1941" s="10">
        <v>127</v>
      </c>
      <c r="B1941" s="10">
        <v>20</v>
      </c>
      <c r="C1941" s="10" t="s">
        <v>106</v>
      </c>
      <c r="D1941" s="10" t="s">
        <v>1</v>
      </c>
      <c r="E1941" s="15">
        <v>4.09</v>
      </c>
    </row>
    <row r="1942" spans="1:5" x14ac:dyDescent="0.3">
      <c r="A1942" s="8">
        <v>127</v>
      </c>
      <c r="B1942" s="8">
        <v>22</v>
      </c>
      <c r="C1942" s="8" t="s">
        <v>26</v>
      </c>
      <c r="D1942" s="8" t="s">
        <v>64</v>
      </c>
      <c r="E1942" s="9">
        <f>16.24-0.526-0.527-0.531-0.524-0.526-0.177-0.061-0.062-2.05-0.061-0.118-0.529-0.061-0.175</f>
        <v>10.311999999999999</v>
      </c>
    </row>
    <row r="1943" spans="1:5" x14ac:dyDescent="0.3">
      <c r="A1943" s="10">
        <v>127</v>
      </c>
      <c r="B1943" s="10">
        <v>22</v>
      </c>
      <c r="C1943" s="10" t="s">
        <v>28</v>
      </c>
      <c r="D1943" s="10" t="s">
        <v>1</v>
      </c>
      <c r="E1943" s="15">
        <f>11.106-0.427-0.429-0.443-0.434-2.177-0.065-0.117-0.076-0.09-0.679-0.052-0.025-0.032-0.089-0.061-0.44-0.146-0.435-0.075-0.434-0.118-0.062-0.257</f>
        <v>3.9430000000000001</v>
      </c>
    </row>
    <row r="1944" spans="1:5" x14ac:dyDescent="0.3">
      <c r="A1944" s="10">
        <v>127</v>
      </c>
      <c r="B1944" s="10">
        <v>22</v>
      </c>
      <c r="C1944" s="10" t="s">
        <v>30</v>
      </c>
      <c r="D1944" s="10" t="s">
        <v>1</v>
      </c>
      <c r="E1944" s="15">
        <f>2.52+2.86</f>
        <v>5.38</v>
      </c>
    </row>
    <row r="1945" spans="1:5" x14ac:dyDescent="0.3">
      <c r="A1945" s="10">
        <v>127</v>
      </c>
      <c r="B1945" s="10">
        <v>25</v>
      </c>
      <c r="C1945" s="10">
        <v>20</v>
      </c>
      <c r="D1945" s="10" t="s">
        <v>1</v>
      </c>
      <c r="E1945" s="15">
        <f>2.242-0.067-0.371-0.09-0.036-0.561-0.193-0.13-0.161-0.156-0.023-0.057-0.025-0.066-0.098-0.036-0.035-0.066</f>
        <v>7.0999999999999369E-2</v>
      </c>
    </row>
    <row r="1946" spans="1:5" x14ac:dyDescent="0.3">
      <c r="A1946" s="8">
        <v>127</v>
      </c>
      <c r="B1946" s="8">
        <v>25</v>
      </c>
      <c r="C1946" s="8">
        <v>20</v>
      </c>
      <c r="D1946" s="8" t="s">
        <v>1</v>
      </c>
      <c r="E1946" s="9">
        <v>5</v>
      </c>
    </row>
    <row r="1947" spans="1:5" x14ac:dyDescent="0.3">
      <c r="A1947" s="10">
        <v>127</v>
      </c>
      <c r="B1947" s="10">
        <v>25</v>
      </c>
      <c r="C1947" s="10" t="s">
        <v>26</v>
      </c>
      <c r="D1947" s="10" t="s">
        <v>64</v>
      </c>
      <c r="E1947" s="15">
        <v>5.5449999999999999</v>
      </c>
    </row>
    <row r="1948" spans="1:5" x14ac:dyDescent="0.3">
      <c r="A1948" s="8">
        <v>127</v>
      </c>
      <c r="B1948" s="8">
        <v>25</v>
      </c>
      <c r="C1948" s="8">
        <v>35</v>
      </c>
      <c r="D1948" s="8" t="s">
        <v>1</v>
      </c>
      <c r="E1948" s="9">
        <v>5</v>
      </c>
    </row>
    <row r="1949" spans="1:5" x14ac:dyDescent="0.3">
      <c r="A1949" s="10">
        <v>127</v>
      </c>
      <c r="B1949" s="10">
        <v>25</v>
      </c>
      <c r="C1949" s="10">
        <v>45</v>
      </c>
      <c r="D1949" s="10" t="s">
        <v>1</v>
      </c>
      <c r="E1949" s="15">
        <f>0.103-0.064+0.001-0.022</f>
        <v>1.7999999999999995E-2</v>
      </c>
    </row>
    <row r="1950" spans="1:5" x14ac:dyDescent="0.3">
      <c r="A1950" s="10">
        <v>127</v>
      </c>
      <c r="B1950" s="10">
        <v>25</v>
      </c>
      <c r="C1950" s="10">
        <v>45</v>
      </c>
      <c r="D1950" s="10" t="s">
        <v>1</v>
      </c>
      <c r="E1950" s="15">
        <f>7.035-0.201-0.194-0.189-1.18-0.067-0.073-0.074-0.375-0.227-2.115-0.59+0.01-0.087</f>
        <v>1.673</v>
      </c>
    </row>
    <row r="1951" spans="1:5" x14ac:dyDescent="0.3">
      <c r="A1951" s="10">
        <v>127</v>
      </c>
      <c r="B1951" s="10">
        <v>25</v>
      </c>
      <c r="C1951" s="10" t="s">
        <v>28</v>
      </c>
      <c r="D1951" s="10" t="s">
        <v>1</v>
      </c>
      <c r="E1951" s="15">
        <f>6.95-0.386-0.193-0.105-0.211-0.096-0.503-0.298+0.021-0.533-0.519-1.024-0.508+3.52-0.13-0.111-0.872-1.038-0.525-3.28-0.066</f>
        <v>9.2999999999998917E-2</v>
      </c>
    </row>
    <row r="1952" spans="1:5" x14ac:dyDescent="0.3">
      <c r="A1952" s="10">
        <v>127</v>
      </c>
      <c r="B1952" s="10">
        <v>25</v>
      </c>
      <c r="C1952" s="10" t="s">
        <v>28</v>
      </c>
      <c r="D1952" s="10" t="s">
        <v>1</v>
      </c>
      <c r="E1952" s="15">
        <f>4.845-0.202-0.13-0.218-1.089-0.548</f>
        <v>2.6579999999999999</v>
      </c>
    </row>
    <row r="1953" spans="1:5" x14ac:dyDescent="0.3">
      <c r="A1953" s="10">
        <v>127</v>
      </c>
      <c r="B1953" s="10">
        <v>25</v>
      </c>
      <c r="C1953" s="10" t="s">
        <v>30</v>
      </c>
      <c r="D1953" s="10" t="s">
        <v>1</v>
      </c>
      <c r="E1953" s="15">
        <f>2.275+2.265+1.12-0.073-0.066-0.435</f>
        <v>5.0860000000000003</v>
      </c>
    </row>
    <row r="1954" spans="1:5" x14ac:dyDescent="0.3">
      <c r="A1954" s="8">
        <v>127</v>
      </c>
      <c r="B1954" s="8">
        <v>28</v>
      </c>
      <c r="C1954" s="8">
        <v>20</v>
      </c>
      <c r="D1954" s="8" t="s">
        <v>1</v>
      </c>
      <c r="E1954" s="9">
        <v>5</v>
      </c>
    </row>
    <row r="1955" spans="1:5" x14ac:dyDescent="0.3">
      <c r="A1955" s="8">
        <v>127</v>
      </c>
      <c r="B1955" s="8">
        <v>28</v>
      </c>
      <c r="C1955" s="8">
        <v>45</v>
      </c>
      <c r="D1955" s="8" t="s">
        <v>1</v>
      </c>
      <c r="E1955" s="9">
        <v>5</v>
      </c>
    </row>
    <row r="1956" spans="1:5" x14ac:dyDescent="0.3">
      <c r="A1956" s="10">
        <v>127</v>
      </c>
      <c r="B1956" s="10">
        <v>28</v>
      </c>
      <c r="C1956" s="10" t="s">
        <v>28</v>
      </c>
      <c r="D1956" s="10" t="s">
        <v>1</v>
      </c>
      <c r="E1956" s="15">
        <f>0.34-0.228+10.119-0.487-0.018-0.504-0.495-1.43-0.476-0.974-4.2-0.039-0.181-0.457-0.488-0.058-0.144</f>
        <v>0.28000000000000025</v>
      </c>
    </row>
    <row r="1957" spans="1:5" x14ac:dyDescent="0.3">
      <c r="A1957" s="10">
        <v>127</v>
      </c>
      <c r="B1957" s="10">
        <v>28</v>
      </c>
      <c r="C1957" s="10" t="s">
        <v>28</v>
      </c>
      <c r="D1957" s="10" t="s">
        <v>1</v>
      </c>
      <c r="E1957" s="15">
        <f>6.045-0.51</f>
        <v>5.5350000000000001</v>
      </c>
    </row>
    <row r="1958" spans="1:5" x14ac:dyDescent="0.3">
      <c r="A1958" s="8">
        <v>127</v>
      </c>
      <c r="B1958" s="8">
        <v>28</v>
      </c>
      <c r="C1958" s="8" t="s">
        <v>30</v>
      </c>
      <c r="D1958" s="8" t="s">
        <v>1</v>
      </c>
      <c r="E1958" s="9">
        <v>5</v>
      </c>
    </row>
    <row r="1959" spans="1:5" x14ac:dyDescent="0.3">
      <c r="A1959" s="10">
        <v>127</v>
      </c>
      <c r="B1959" s="10">
        <v>30</v>
      </c>
      <c r="C1959" s="10">
        <v>20</v>
      </c>
      <c r="D1959" s="10" t="s">
        <v>1</v>
      </c>
      <c r="E1959" s="15">
        <f>5.175-0.04-0.148-0.22-0.176-0.025-0.046-0.083-0.112-0.04-0.076-0.057-0.15-0.583-0.22-0.061-0.125-0.178-0.034-0.148-0.589-0.026</f>
        <v>2.0379999999999989</v>
      </c>
    </row>
    <row r="1960" spans="1:5" x14ac:dyDescent="0.3">
      <c r="A1960" s="10">
        <v>127</v>
      </c>
      <c r="B1960" s="10">
        <v>30</v>
      </c>
      <c r="C1960" s="10" t="s">
        <v>26</v>
      </c>
      <c r="D1960" s="10" t="s">
        <v>64</v>
      </c>
      <c r="E1960" s="15">
        <f>6.86-0.024-0.518-1.736-0.251-0.443-3.861+0.072-0.046</f>
        <v>5.300000000000013E-2</v>
      </c>
    </row>
    <row r="1961" spans="1:5" x14ac:dyDescent="0.3">
      <c r="A1961" s="8">
        <v>127</v>
      </c>
      <c r="B1961" s="8">
        <v>30</v>
      </c>
      <c r="C1961" s="8" t="s">
        <v>26</v>
      </c>
      <c r="D1961" s="8" t="s">
        <v>64</v>
      </c>
      <c r="E1961" s="9">
        <f>5.13-0.306+2.2</f>
        <v>7.024</v>
      </c>
    </row>
    <row r="1962" spans="1:5" x14ac:dyDescent="0.3">
      <c r="A1962" s="8">
        <v>127</v>
      </c>
      <c r="B1962" s="8">
        <v>30</v>
      </c>
      <c r="C1962" s="8" t="s">
        <v>26</v>
      </c>
      <c r="D1962" s="8" t="s">
        <v>64</v>
      </c>
      <c r="E1962" s="9">
        <f>7-5.13</f>
        <v>1.87</v>
      </c>
    </row>
    <row r="1963" spans="1:5" x14ac:dyDescent="0.3">
      <c r="A1963" s="8">
        <v>127</v>
      </c>
      <c r="B1963" s="8">
        <v>30</v>
      </c>
      <c r="C1963" s="8">
        <v>35</v>
      </c>
      <c r="D1963" s="8" t="s">
        <v>1</v>
      </c>
      <c r="E1963" s="9">
        <v>5</v>
      </c>
    </row>
    <row r="1964" spans="1:5" x14ac:dyDescent="0.3">
      <c r="A1964" s="8">
        <v>127</v>
      </c>
      <c r="B1964" s="8">
        <v>30</v>
      </c>
      <c r="C1964" s="8">
        <v>45</v>
      </c>
      <c r="D1964" s="8" t="s">
        <v>1</v>
      </c>
      <c r="E1964" s="9">
        <v>5</v>
      </c>
    </row>
    <row r="1965" spans="1:5" x14ac:dyDescent="0.3">
      <c r="A1965" s="10">
        <v>127</v>
      </c>
      <c r="B1965" s="10">
        <v>30</v>
      </c>
      <c r="C1965" s="10" t="s">
        <v>28</v>
      </c>
      <c r="D1965" s="10" t="s">
        <v>1</v>
      </c>
      <c r="E1965" s="15">
        <f>2.84+2.275-0.594-0.591</f>
        <v>3.9299999999999997</v>
      </c>
    </row>
    <row r="1966" spans="1:5" x14ac:dyDescent="0.3">
      <c r="A1966" s="10">
        <v>127</v>
      </c>
      <c r="B1966" s="10">
        <v>30</v>
      </c>
      <c r="C1966" s="10" t="s">
        <v>30</v>
      </c>
      <c r="D1966" s="10" t="s">
        <v>1</v>
      </c>
      <c r="E1966" s="15">
        <f>2.93+2.55-0.062-0.077</f>
        <v>5.3410000000000002</v>
      </c>
    </row>
    <row r="1967" spans="1:5" x14ac:dyDescent="0.3">
      <c r="A1967" s="8">
        <v>127</v>
      </c>
      <c r="B1967" s="8">
        <v>32</v>
      </c>
      <c r="C1967" s="8">
        <v>20</v>
      </c>
      <c r="D1967" s="8" t="s">
        <v>1</v>
      </c>
      <c r="E1967" s="9">
        <v>5</v>
      </c>
    </row>
    <row r="1968" spans="1:5" x14ac:dyDescent="0.3">
      <c r="A1968" s="8">
        <v>127</v>
      </c>
      <c r="B1968" s="8">
        <v>32</v>
      </c>
      <c r="C1968" s="8">
        <v>45</v>
      </c>
      <c r="D1968" s="8" t="s">
        <v>1</v>
      </c>
      <c r="E1968" s="9">
        <v>5</v>
      </c>
    </row>
    <row r="1969" spans="1:5" x14ac:dyDescent="0.3">
      <c r="A1969" s="10">
        <v>127</v>
      </c>
      <c r="B1969" s="10">
        <v>35</v>
      </c>
      <c r="C1969" s="10">
        <v>20</v>
      </c>
      <c r="D1969" s="10" t="s">
        <v>1</v>
      </c>
      <c r="E1969" s="15">
        <f>3.825+1.08-0.204-0.244-0.552-0.016</f>
        <v>3.8890000000000007</v>
      </c>
    </row>
    <row r="1970" spans="1:5" x14ac:dyDescent="0.3">
      <c r="A1970" s="10">
        <v>127</v>
      </c>
      <c r="B1970" s="10">
        <v>35</v>
      </c>
      <c r="C1970" s="10" t="s">
        <v>26</v>
      </c>
      <c r="D1970" s="10" t="s">
        <v>64</v>
      </c>
      <c r="E1970" s="15">
        <f>7.695-0.059-0.171-1.297-0.185-0.141-0.441-0.414</f>
        <v>4.987000000000001</v>
      </c>
    </row>
    <row r="1971" spans="1:5" x14ac:dyDescent="0.3">
      <c r="A1971" s="8">
        <v>127</v>
      </c>
      <c r="B1971" s="8">
        <v>35</v>
      </c>
      <c r="C1971" s="8">
        <v>35</v>
      </c>
      <c r="D1971" s="8" t="s">
        <v>1</v>
      </c>
      <c r="E1971" s="9">
        <v>5</v>
      </c>
    </row>
    <row r="1972" spans="1:5" x14ac:dyDescent="0.3">
      <c r="A1972" s="10">
        <v>127</v>
      </c>
      <c r="B1972" s="10">
        <v>35</v>
      </c>
      <c r="C1972" s="10">
        <v>45</v>
      </c>
      <c r="D1972" s="10" t="s">
        <v>1</v>
      </c>
      <c r="E1972" s="15">
        <f>5.5-0.06-0.497-0.564-0.568-0.562-0.04-0.525</f>
        <v>2.6840000000000006</v>
      </c>
    </row>
    <row r="1973" spans="1:5" x14ac:dyDescent="0.3">
      <c r="A1973" s="10">
        <v>127</v>
      </c>
      <c r="B1973" s="10">
        <v>35</v>
      </c>
      <c r="C1973" s="10" t="s">
        <v>28</v>
      </c>
      <c r="D1973" s="10" t="s">
        <v>1</v>
      </c>
      <c r="E1973" s="15">
        <f>4.83-1.035-0.264</f>
        <v>3.5309999999999997</v>
      </c>
    </row>
    <row r="1974" spans="1:5" x14ac:dyDescent="0.3">
      <c r="A1974" s="10">
        <v>127</v>
      </c>
      <c r="B1974" s="10">
        <v>35</v>
      </c>
      <c r="C1974" s="10" t="s">
        <v>30</v>
      </c>
      <c r="D1974" s="10" t="s">
        <v>1</v>
      </c>
      <c r="E1974" s="15">
        <f>1.02+1.02+2.565-0.521-0.012+2.555-0.242</f>
        <v>6.3850000000000007</v>
      </c>
    </row>
    <row r="1975" spans="1:5" x14ac:dyDescent="0.3">
      <c r="A1975" s="8">
        <v>127</v>
      </c>
      <c r="B1975" s="8">
        <v>40</v>
      </c>
      <c r="C1975" s="8">
        <v>20</v>
      </c>
      <c r="D1975" s="8" t="s">
        <v>1</v>
      </c>
      <c r="E1975" s="9">
        <v>5</v>
      </c>
    </row>
    <row r="1976" spans="1:5" x14ac:dyDescent="0.3">
      <c r="A1976" s="8">
        <v>127</v>
      </c>
      <c r="B1976" s="8">
        <v>40</v>
      </c>
      <c r="C1976" s="8" t="s">
        <v>30</v>
      </c>
      <c r="D1976" s="8" t="s">
        <v>1</v>
      </c>
      <c r="E1976" s="9">
        <v>5</v>
      </c>
    </row>
    <row r="1977" spans="1:5" x14ac:dyDescent="0.3">
      <c r="A1977" s="10">
        <v>130.5</v>
      </c>
      <c r="B1977" s="10">
        <v>12.6</v>
      </c>
      <c r="C1977" s="10" t="s">
        <v>33</v>
      </c>
      <c r="D1977" s="10" t="s">
        <v>83</v>
      </c>
      <c r="E1977" s="15">
        <f>0.286-0.041</f>
        <v>0.24499999999999997</v>
      </c>
    </row>
    <row r="1978" spans="1:5" x14ac:dyDescent="0.3">
      <c r="A1978" s="10">
        <v>132</v>
      </c>
      <c r="B1978" s="10">
        <v>10</v>
      </c>
      <c r="C1978" s="10">
        <v>20</v>
      </c>
      <c r="D1978" s="10" t="s">
        <v>1</v>
      </c>
      <c r="E1978" s="15">
        <v>0.13500000000000001</v>
      </c>
    </row>
    <row r="1979" spans="1:5" x14ac:dyDescent="0.3">
      <c r="A1979" s="10">
        <v>133</v>
      </c>
      <c r="B1979" s="10">
        <v>4</v>
      </c>
      <c r="C1979" s="10">
        <v>20</v>
      </c>
      <c r="D1979" s="10" t="s">
        <v>1</v>
      </c>
      <c r="E1979" s="15">
        <f>0.235+0.27-0.076+0.163-0.007-0.012-0.122+1.362+0.122-0.012-0.025+6.004-0.064+0.837-0.018-0.017-0.017-0.022-0.009-0.014-0.305-0.056-0.017-0.017+0.02-0.09-0.009-0.006-0.018-0.033-0.064-0.005</f>
        <v>7.9780000000000006</v>
      </c>
    </row>
    <row r="1980" spans="1:5" x14ac:dyDescent="0.3">
      <c r="A1980" s="8">
        <v>133</v>
      </c>
      <c r="B1980" s="8">
        <v>4</v>
      </c>
      <c r="C1980" s="8">
        <v>20</v>
      </c>
      <c r="D1980" s="8" t="s">
        <v>4</v>
      </c>
      <c r="E1980" s="9">
        <f>3.566+0.078-0.38-0.054-0.015</f>
        <v>3.1949999999999998</v>
      </c>
    </row>
    <row r="1981" spans="1:5" x14ac:dyDescent="0.3">
      <c r="A1981" s="10">
        <v>133</v>
      </c>
      <c r="B1981" s="10">
        <v>4</v>
      </c>
      <c r="C1981" s="10" t="s">
        <v>12</v>
      </c>
      <c r="D1981" s="10" t="s">
        <v>8</v>
      </c>
      <c r="E1981" s="15">
        <v>0.86799999999999999</v>
      </c>
    </row>
    <row r="1982" spans="1:5" x14ac:dyDescent="0.3">
      <c r="A1982" s="10">
        <v>133</v>
      </c>
      <c r="B1982" s="10">
        <v>4</v>
      </c>
      <c r="C1982" s="10" t="s">
        <v>26</v>
      </c>
      <c r="D1982" s="10" t="s">
        <v>1</v>
      </c>
      <c r="E1982" s="15">
        <f>1.231-0.045+0.093-0.008-0.036-0.027-0.612+0.254-0.375-0.063-0.054+0.685-0.123+0.651-0.008-0.012+4.29-0.008-2.04-0.114-0.651-0.022-2.12-0.685-0.083-0.093-0.008</f>
        <v>1.7000000000000508E-2</v>
      </c>
    </row>
    <row r="1983" spans="1:5" x14ac:dyDescent="0.3">
      <c r="A1983" s="10">
        <v>133</v>
      </c>
      <c r="B1983" s="10">
        <v>4</v>
      </c>
      <c r="C1983" s="10" t="s">
        <v>26</v>
      </c>
      <c r="D1983" s="10" t="s">
        <v>1</v>
      </c>
      <c r="E1983" s="15">
        <f>2.04+0.114+0.651+2.12+0.685+0.083-0.016+0.093-0.008-1.01-0.06+0.54-0.037-0.016-0.15-0.031-0.013+1.104-0.019-0.03+0.251-0.045+0.117-0.016-0.016-0.046-0.023+1.388-0.007-0.117-0.02-0.038-0.015-0.02-0.009-0.05-0.524-0.006-0.046-0.043-0.115-0.133-0.011-0.243-0.009-0.031-0.006-0.07-0.016-0.004-0.049-0.03-0.016-0.016-0.019-0.021-0.009-0.031</f>
        <v>5.9259999999999993</v>
      </c>
    </row>
    <row r="1984" spans="1:5" x14ac:dyDescent="0.3">
      <c r="A1984" s="10">
        <v>133</v>
      </c>
      <c r="B1984" s="10">
        <v>4</v>
      </c>
      <c r="C1984" s="10">
        <v>35</v>
      </c>
      <c r="D1984" s="10" t="s">
        <v>1</v>
      </c>
      <c r="E1984" s="15">
        <f>4.423+2.146+0.952+0.39-0.009</f>
        <v>7.9019999999999992</v>
      </c>
    </row>
    <row r="1985" spans="1:5" x14ac:dyDescent="0.3">
      <c r="A1985" s="10">
        <v>133</v>
      </c>
      <c r="B1985" s="10">
        <v>4.5</v>
      </c>
      <c r="C1985" s="10">
        <v>20</v>
      </c>
      <c r="D1985" s="10" t="s">
        <v>7</v>
      </c>
      <c r="E1985" s="15">
        <f>1.28-1.105</f>
        <v>0.17500000000000004</v>
      </c>
    </row>
    <row r="1986" spans="1:5" x14ac:dyDescent="0.3">
      <c r="A1986" s="10">
        <v>133</v>
      </c>
      <c r="B1986" s="10">
        <v>4.5</v>
      </c>
      <c r="C1986" s="10">
        <v>20</v>
      </c>
      <c r="D1986" s="10" t="s">
        <v>7</v>
      </c>
      <c r="E1986" s="15">
        <f>1.105-0.013-0.02-0.009-0.016+0.121-0.034-0.083-0.01</f>
        <v>1.0410000000000001</v>
      </c>
    </row>
    <row r="1987" spans="1:5" x14ac:dyDescent="0.3">
      <c r="A1987" s="10">
        <v>133</v>
      </c>
      <c r="B1987" s="10">
        <v>4.5</v>
      </c>
      <c r="C1987" s="10">
        <v>20</v>
      </c>
      <c r="D1987" s="10" t="s">
        <v>110</v>
      </c>
      <c r="E1987" s="15">
        <f>0.142-0.097</f>
        <v>4.4999999999999984E-2</v>
      </c>
    </row>
    <row r="1988" spans="1:5" x14ac:dyDescent="0.3">
      <c r="A1988" s="10">
        <v>133</v>
      </c>
      <c r="B1988" s="10">
        <v>5</v>
      </c>
      <c r="C1988" s="10">
        <v>20</v>
      </c>
      <c r="D1988" s="10" t="s">
        <v>1</v>
      </c>
      <c r="E1988" s="15">
        <f>4.685-0.051+0.157-0.036+0.063-0.018+0.056-0.018-0.008-0.019-0.064-0.045-0.005-0.045-2.93-0.019-0.019-0.357-0.053-0.019-0.053-0.014+1.81-1.19-0.023-0.027-0.018+2.6-0.005</f>
        <v>4.3350000000000009</v>
      </c>
    </row>
    <row r="1989" spans="1:5" x14ac:dyDescent="0.3">
      <c r="A1989" s="12">
        <v>133</v>
      </c>
      <c r="B1989" s="12">
        <v>5</v>
      </c>
      <c r="C1989" s="12">
        <v>20</v>
      </c>
      <c r="D1989" s="8" t="s">
        <v>1</v>
      </c>
      <c r="E1989" s="15">
        <v>2.6</v>
      </c>
    </row>
    <row r="1990" spans="1:5" x14ac:dyDescent="0.3">
      <c r="A1990" s="8">
        <v>133</v>
      </c>
      <c r="B1990" s="8">
        <v>5</v>
      </c>
      <c r="C1990" s="8" t="s">
        <v>12</v>
      </c>
      <c r="D1990" s="8" t="s">
        <v>32</v>
      </c>
      <c r="E1990" s="9">
        <f>0.602+0.907</f>
        <v>1.5089999999999999</v>
      </c>
    </row>
    <row r="1991" spans="1:5" x14ac:dyDescent="0.3">
      <c r="A1991" s="10">
        <v>133</v>
      </c>
      <c r="B1991" s="10">
        <v>5</v>
      </c>
      <c r="C1991" s="10" t="s">
        <v>26</v>
      </c>
      <c r="D1991" s="10" t="s">
        <v>1</v>
      </c>
      <c r="E1991" s="15">
        <f>0.25-0.026-0.016-0.017+1.36-0.017-0.012-0.003-0.016-0.007+0.15-0.01-0.016</f>
        <v>1.6200000000000003</v>
      </c>
    </row>
    <row r="1992" spans="1:5" x14ac:dyDescent="0.3">
      <c r="A1992" s="10">
        <v>133</v>
      </c>
      <c r="B1992" s="10">
        <v>5</v>
      </c>
      <c r="C1992" s="10" t="s">
        <v>26</v>
      </c>
      <c r="D1992" s="10" t="s">
        <v>64</v>
      </c>
      <c r="E1992" s="15">
        <f>5.298-0.033-0.158-0.066-0.049-0.325-0.034-0.05-0.018-0.039-0.066-0.022-0.017-0.009-0.05</f>
        <v>4.3619999999999992</v>
      </c>
    </row>
    <row r="1993" spans="1:5" x14ac:dyDescent="0.3">
      <c r="A1993" s="10">
        <v>133</v>
      </c>
      <c r="B1993" s="10">
        <v>5</v>
      </c>
      <c r="C1993" s="10" t="s">
        <v>36</v>
      </c>
      <c r="D1993" s="10" t="s">
        <v>1</v>
      </c>
      <c r="E1993" s="15">
        <v>2.0699999999999998</v>
      </c>
    </row>
    <row r="1994" spans="1:5" x14ac:dyDescent="0.3">
      <c r="A1994" s="10">
        <v>133</v>
      </c>
      <c r="B1994" s="10">
        <v>6</v>
      </c>
      <c r="C1994" s="10">
        <v>20</v>
      </c>
      <c r="D1994" s="10" t="s">
        <v>1</v>
      </c>
      <c r="E1994" s="15">
        <f>0.185+0.816+0.094-0.021-0.054-0.148-0.042-0.036-0.022-0.028-0.024+4.914+0.205-0.143-0.142-0.019-0.017-0.041-0.02-0.06-0.042-0.082-0.008-0.012-0.062-0.102-0.099-0.008-0.032-0.062-0.062-0.008-0.011-0.019-0.179-0.069-0.014-0.074-0.01-0.123-0.022</f>
        <v>4.2969999999999979</v>
      </c>
    </row>
    <row r="1995" spans="1:5" x14ac:dyDescent="0.3">
      <c r="A1995" s="10">
        <v>133</v>
      </c>
      <c r="B1995" s="10">
        <v>6</v>
      </c>
      <c r="C1995" s="10" t="s">
        <v>26</v>
      </c>
      <c r="D1995" s="10" t="s">
        <v>1</v>
      </c>
      <c r="E1995" s="15">
        <f>3.256+7.09-0.022-0.021-7.9-2.295-0.078</f>
        <v>2.9999999999998764E-2</v>
      </c>
    </row>
    <row r="1996" spans="1:5" x14ac:dyDescent="0.3">
      <c r="A1996" s="10">
        <v>133</v>
      </c>
      <c r="B1996" s="10">
        <v>6</v>
      </c>
      <c r="C1996" s="10" t="s">
        <v>26</v>
      </c>
      <c r="D1996" s="10" t="s">
        <v>110</v>
      </c>
      <c r="E1996" s="15">
        <v>0.77900000000000003</v>
      </c>
    </row>
    <row r="1997" spans="1:5" x14ac:dyDescent="0.3">
      <c r="A1997" s="10">
        <v>133</v>
      </c>
      <c r="B1997" s="10">
        <v>6</v>
      </c>
      <c r="C1997" s="10" t="s">
        <v>26</v>
      </c>
      <c r="D1997" s="10" t="s">
        <v>1</v>
      </c>
      <c r="E1997" s="15">
        <f>2.295+1.736-0.024-0.048+7.9-0.365-0.062-0.026-0.022-0.194-0.042-1.42-0.111-0.008-0.022-0.021+0.182-0.096+0.21-0.021-0.007-0.026-0.073-0.052-0.022-0.042-1.159-0.011-0.122-0.011-0.022-0.006-0.04-0.225-0.012-0.011-0.004-0.008-0.185-0.032-0.354-0.018-0.045-0.006-0.062-0.004-0.042-0.124</f>
        <v>7.1160000000000032</v>
      </c>
    </row>
    <row r="1998" spans="1:5" x14ac:dyDescent="0.3">
      <c r="A1998" s="10">
        <v>133</v>
      </c>
      <c r="B1998" s="10">
        <v>6</v>
      </c>
      <c r="C1998" s="10" t="s">
        <v>28</v>
      </c>
      <c r="D1998" s="10" t="s">
        <v>1</v>
      </c>
      <c r="E1998" s="15">
        <f>5.18-0.13</f>
        <v>5.05</v>
      </c>
    </row>
    <row r="1999" spans="1:5" x14ac:dyDescent="0.3">
      <c r="A1999" s="10">
        <v>133</v>
      </c>
      <c r="B1999" s="10">
        <v>6</v>
      </c>
      <c r="C1999" s="10" t="s">
        <v>30</v>
      </c>
      <c r="D1999" s="10" t="s">
        <v>1</v>
      </c>
      <c r="E1999" s="15">
        <f>5.12-0.094-0.011-0.059-0.059-0.489-0.986-0.165-3.246</f>
        <v>1.0999999999999677E-2</v>
      </c>
    </row>
    <row r="2000" spans="1:5" x14ac:dyDescent="0.3">
      <c r="A2000" s="10">
        <v>133</v>
      </c>
      <c r="B2000" s="10">
        <v>6</v>
      </c>
      <c r="C2000" s="10" t="s">
        <v>30</v>
      </c>
      <c r="D2000" s="10" t="s">
        <v>1</v>
      </c>
      <c r="E2000" s="15">
        <f>3.246-0.159-0.04-0.039-0.084-0.069-0.04-0.055-0.059-0.099</f>
        <v>2.6019999999999994</v>
      </c>
    </row>
    <row r="2001" spans="1:5" x14ac:dyDescent="0.3">
      <c r="A2001" s="10">
        <v>133</v>
      </c>
      <c r="B2001" s="10">
        <v>7</v>
      </c>
      <c r="C2001" s="10">
        <v>20</v>
      </c>
      <c r="D2001" s="10" t="s">
        <v>1</v>
      </c>
      <c r="E2001" s="15">
        <f>0.52+0.204+0.135-0.021-0.061-0.055-0.07-0.014-0.289-0.03-0.024-0.093-0.032</f>
        <v>0.16999999999999993</v>
      </c>
    </row>
    <row r="2002" spans="1:5" x14ac:dyDescent="0.3">
      <c r="A2002" s="8">
        <v>133</v>
      </c>
      <c r="B2002" s="8">
        <v>7</v>
      </c>
      <c r="C2002" s="8">
        <v>20</v>
      </c>
      <c r="D2002" s="8" t="s">
        <v>1</v>
      </c>
      <c r="E2002" s="9">
        <f>0.18-0.013-0.025-0.024-0.047</f>
        <v>7.0999999999999994E-2</v>
      </c>
    </row>
    <row r="2003" spans="1:5" x14ac:dyDescent="0.3">
      <c r="A2003" s="10">
        <v>133</v>
      </c>
      <c r="B2003" s="10">
        <v>7</v>
      </c>
      <c r="C2003" s="10" t="s">
        <v>26</v>
      </c>
      <c r="D2003" s="10" t="s">
        <v>64</v>
      </c>
      <c r="E2003" s="15">
        <f>1.05-0.013-0.047-0.025+0.218-0.043+0.388-0.109-0.029-0.095-0.026-0.013-0.11</f>
        <v>1.1460000000000001</v>
      </c>
    </row>
    <row r="2004" spans="1:5" x14ac:dyDescent="0.3">
      <c r="A2004" s="10">
        <v>133</v>
      </c>
      <c r="B2004" s="10">
        <v>8</v>
      </c>
      <c r="C2004" s="10">
        <v>20</v>
      </c>
      <c r="D2004" s="10" t="s">
        <v>1</v>
      </c>
      <c r="E2004" s="15">
        <f>5.196-0.053-0.092-0.028-0.03-0.05-0.028-0.017-0.028-0.092-0.053-0.02-0.009-0.079-0.026-0.028-0.028-0.016-0.032-0.066-0.005-0.079-0.026</f>
        <v>4.3110000000000035</v>
      </c>
    </row>
    <row r="2005" spans="1:5" x14ac:dyDescent="0.3">
      <c r="A2005" s="10">
        <v>133</v>
      </c>
      <c r="B2005" s="10">
        <v>8</v>
      </c>
      <c r="C2005" s="10">
        <v>20</v>
      </c>
      <c r="D2005" s="10" t="s">
        <v>110</v>
      </c>
      <c r="E2005" s="15">
        <v>0.24</v>
      </c>
    </row>
    <row r="2006" spans="1:5" x14ac:dyDescent="0.3">
      <c r="A2006" s="8">
        <v>133</v>
      </c>
      <c r="B2006" s="8">
        <v>8</v>
      </c>
      <c r="C2006" s="10">
        <v>20</v>
      </c>
      <c r="D2006" s="10" t="s">
        <v>32</v>
      </c>
      <c r="E2006" s="9">
        <f>0.069-0.043</f>
        <v>2.6000000000000009E-2</v>
      </c>
    </row>
    <row r="2007" spans="1:5" x14ac:dyDescent="0.3">
      <c r="A2007" s="8">
        <v>133</v>
      </c>
      <c r="B2007" s="8">
        <v>8</v>
      </c>
      <c r="C2007" s="8" t="s">
        <v>12</v>
      </c>
      <c r="D2007" s="8" t="s">
        <v>32</v>
      </c>
      <c r="E2007" s="9">
        <f>1.961+3.444</f>
        <v>5.4050000000000002</v>
      </c>
    </row>
    <row r="2008" spans="1:5" x14ac:dyDescent="0.3">
      <c r="A2008" s="10">
        <v>133</v>
      </c>
      <c r="B2008" s="10">
        <v>8</v>
      </c>
      <c r="C2008" s="10" t="s">
        <v>26</v>
      </c>
      <c r="D2008" s="10" t="s">
        <v>1</v>
      </c>
      <c r="E2008" s="15">
        <f>3.51-0.027+1.85+0.082-0.028-0.064-0.011-0.079-0.053-0.104-0.028-0.008-0.082-0.028-0.079+0.642+0.215-0.038-0.45-0.007-0.046-0.027+0.818-0.26-0.043-0.028-0.028-0.007-0.022-0.012-0.01-0.028-0.028-0.053-0.027-0.027-0.079-0.169-0.028-0.015-0.02</f>
        <v>5.0740000000000052</v>
      </c>
    </row>
    <row r="2009" spans="1:5" x14ac:dyDescent="0.3">
      <c r="A2009" s="12">
        <v>133</v>
      </c>
      <c r="B2009" s="12">
        <v>8</v>
      </c>
      <c r="C2009" s="12" t="s">
        <v>26</v>
      </c>
      <c r="D2009" s="8" t="s">
        <v>1</v>
      </c>
      <c r="E2009" s="15">
        <v>0.215</v>
      </c>
    </row>
    <row r="2010" spans="1:5" x14ac:dyDescent="0.3">
      <c r="A2010" s="8">
        <v>133</v>
      </c>
      <c r="B2010" s="8">
        <v>8</v>
      </c>
      <c r="C2010" s="8" t="s">
        <v>30</v>
      </c>
      <c r="D2010" s="8" t="s">
        <v>1</v>
      </c>
      <c r="E2010" s="9">
        <v>5</v>
      </c>
    </row>
    <row r="2011" spans="1:5" x14ac:dyDescent="0.3">
      <c r="A2011" s="10">
        <v>133</v>
      </c>
      <c r="B2011" s="10">
        <v>10</v>
      </c>
      <c r="C2011" s="10">
        <v>20</v>
      </c>
      <c r="D2011" s="10" t="s">
        <v>1</v>
      </c>
      <c r="E2011" s="15">
        <f>1.063-0.063-0.202-0.064-0.051-0.064-0.008-0.008-0.54-0.036-0.036+0.012</f>
        <v>2.9999999999999506E-3</v>
      </c>
    </row>
    <row r="2012" spans="1:5" x14ac:dyDescent="0.3">
      <c r="A2012" s="10">
        <v>133</v>
      </c>
      <c r="B2012" s="10">
        <v>10</v>
      </c>
      <c r="C2012" s="10">
        <v>20</v>
      </c>
      <c r="D2012" s="10" t="s">
        <v>1</v>
      </c>
      <c r="E2012" s="15">
        <f>3.265+2.58-0.036+0.291-0.145-0.255-0.089-0.089-0.265-0.168-0.04-0.042-0.008-0.036-0.012-0.042-0.035-2.997-0.08-0.28-0.022-0.042-0.062-0.036-0.035-0.009-0.019-0.555-0.019+0.423-0.043-0.026-0.053-0.07-0.081-0.036-0.018+5.508-0.279+0.238-0.019-0.033-0.023-0.042-0.039</f>
        <v>6.1250000000000027</v>
      </c>
    </row>
    <row r="2013" spans="1:5" x14ac:dyDescent="0.3">
      <c r="A2013" s="12">
        <v>133</v>
      </c>
      <c r="B2013" s="12">
        <v>10</v>
      </c>
      <c r="C2013" s="12" t="s">
        <v>39</v>
      </c>
      <c r="D2013" s="8" t="s">
        <v>46</v>
      </c>
      <c r="E2013" s="15">
        <v>1.1000000000000001</v>
      </c>
    </row>
    <row r="2014" spans="1:5" x14ac:dyDescent="0.3">
      <c r="A2014" s="8">
        <v>133</v>
      </c>
      <c r="B2014" s="8">
        <v>10</v>
      </c>
      <c r="C2014" s="8" t="s">
        <v>12</v>
      </c>
      <c r="D2014" s="8" t="s">
        <v>32</v>
      </c>
      <c r="E2014" s="9">
        <v>4.6749999999999998</v>
      </c>
    </row>
    <row r="2015" spans="1:5" x14ac:dyDescent="0.3">
      <c r="A2015" s="10">
        <v>133</v>
      </c>
      <c r="B2015" s="10">
        <v>10</v>
      </c>
      <c r="C2015" s="10" t="s">
        <v>26</v>
      </c>
      <c r="D2015" s="10" t="s">
        <v>64</v>
      </c>
      <c r="E2015" s="15">
        <f>5.168-0.019+0.265+0.23-0.017-0.097-0.03-0.015-0.145-0.025-0.188-0.41+1.188-0.275-0.112-0.058-0.074-0.007-0.15-0.034-0.129-0.018-0.01-0.279-0.545-0.274-0.022-0.034-0.265-0.05-0.066-0.826-0.541-0.16-0.012</f>
        <v>1.9640000000000002</v>
      </c>
    </row>
    <row r="2016" spans="1:5" x14ac:dyDescent="0.3">
      <c r="A2016" s="10">
        <v>133</v>
      </c>
      <c r="B2016" s="10">
        <v>10</v>
      </c>
      <c r="C2016" s="10">
        <v>45</v>
      </c>
      <c r="D2016" s="10" t="s">
        <v>1</v>
      </c>
      <c r="E2016" s="15">
        <f>4.432-0.262-0.262-0.097-3.65</f>
        <v>0.16100000000000003</v>
      </c>
    </row>
    <row r="2017" spans="1:5" x14ac:dyDescent="0.3">
      <c r="A2017" s="10">
        <v>133</v>
      </c>
      <c r="B2017" s="10">
        <v>10</v>
      </c>
      <c r="C2017" s="10">
        <v>45</v>
      </c>
      <c r="D2017" s="10" t="s">
        <v>1</v>
      </c>
      <c r="E2017" s="15">
        <f>0.49+3.65-0.033-0.059-0.264-0.012-0.05-0.043-0.072-0.069-0.029</f>
        <v>3.508999999999999</v>
      </c>
    </row>
    <row r="2018" spans="1:5" x14ac:dyDescent="0.3">
      <c r="A2018" s="10">
        <v>133</v>
      </c>
      <c r="B2018" s="10">
        <v>10</v>
      </c>
      <c r="C2018" s="10" t="s">
        <v>30</v>
      </c>
      <c r="D2018" s="10" t="s">
        <v>1</v>
      </c>
      <c r="E2018" s="15">
        <f>5.245-0.094-3.142-0.033</f>
        <v>1.976</v>
      </c>
    </row>
    <row r="2019" spans="1:5" x14ac:dyDescent="0.3">
      <c r="A2019" s="10">
        <v>133</v>
      </c>
      <c r="B2019" s="10">
        <v>10</v>
      </c>
      <c r="C2019" s="10" t="s">
        <v>35</v>
      </c>
      <c r="D2019" s="10" t="s">
        <v>32</v>
      </c>
      <c r="E2019" s="15">
        <f>2.65+1.79</f>
        <v>4.4399999999999995</v>
      </c>
    </row>
    <row r="2020" spans="1:5" x14ac:dyDescent="0.3">
      <c r="A2020" s="12">
        <v>133</v>
      </c>
      <c r="B2020" s="12">
        <v>10</v>
      </c>
      <c r="C2020" s="12" t="s">
        <v>35</v>
      </c>
      <c r="D2020" s="8" t="s">
        <v>32</v>
      </c>
      <c r="E2020" s="15">
        <f>5.3-2.65-1.79</f>
        <v>0.85999999999999988</v>
      </c>
    </row>
    <row r="2021" spans="1:5" x14ac:dyDescent="0.3">
      <c r="A2021" s="10">
        <v>133</v>
      </c>
      <c r="B2021" s="10">
        <v>10</v>
      </c>
      <c r="C2021" s="10" t="s">
        <v>31</v>
      </c>
      <c r="D2021" s="10" t="s">
        <v>32</v>
      </c>
      <c r="E2021" s="15">
        <f>11.235-0.068-0.035+2.815-0.019-0.154-0.905-1.14-1.125-0.21</f>
        <v>10.393999999999998</v>
      </c>
    </row>
    <row r="2022" spans="1:5" x14ac:dyDescent="0.3">
      <c r="A2022" s="10">
        <v>133</v>
      </c>
      <c r="B2022" s="10">
        <v>12</v>
      </c>
      <c r="C2022" s="10">
        <v>20</v>
      </c>
      <c r="D2022" s="10" t="s">
        <v>1</v>
      </c>
      <c r="E2022" s="15">
        <f>0.115-0.016-0.038-0.009-0.031-0.017+0.002</f>
        <v>6.0000000000000036E-3</v>
      </c>
    </row>
    <row r="2023" spans="1:5" x14ac:dyDescent="0.3">
      <c r="A2023" s="10">
        <v>133</v>
      </c>
      <c r="B2023" s="10">
        <v>12</v>
      </c>
      <c r="C2023" s="10">
        <v>20</v>
      </c>
      <c r="D2023" s="10" t="s">
        <v>1</v>
      </c>
      <c r="E2023" s="15">
        <f>1.904+1.906-0.076-0.019-0.112-0.039+0.275-0.131-0.032-0.039-0.039-0.016-0.058-0.076-0.054-0.057+0.271-0.038-0.045-0.024-0.046-0.102-0.011-0.065-0.065-0.02-0.05-0.139-0.044-0.112-0.076-0.113-0.046-0.077-0.114-0.038-0.083-0.032-0.081-0.048-0.046-0.039-0.113-0.039-0.113-0.085-0.05-0.02-0.546-0.02-0.057-0.113</f>
        <v>0.89800000000000035</v>
      </c>
    </row>
    <row r="2024" spans="1:5" x14ac:dyDescent="0.3">
      <c r="A2024" s="10">
        <v>133</v>
      </c>
      <c r="B2024" s="10">
        <v>12</v>
      </c>
      <c r="C2024" s="10">
        <v>20</v>
      </c>
      <c r="D2024" s="10" t="s">
        <v>32</v>
      </c>
      <c r="E2024" s="15">
        <f>0.267-0.032</f>
        <v>0.23500000000000001</v>
      </c>
    </row>
    <row r="2025" spans="1:5" x14ac:dyDescent="0.3">
      <c r="A2025" s="10">
        <v>133</v>
      </c>
      <c r="B2025" s="10">
        <v>12</v>
      </c>
      <c r="C2025" s="10" t="s">
        <v>26</v>
      </c>
      <c r="D2025" s="10" t="s">
        <v>1</v>
      </c>
      <c r="E2025" s="15">
        <f>1.296-0.02-0.039-0.02-0.057-0.265-0.042-0.039-0.272-0.038-0.019+0.944-0.021-0.02-0.038-0.024-0.123</f>
        <v>1.2029999999999998</v>
      </c>
    </row>
    <row r="2026" spans="1:5" x14ac:dyDescent="0.3">
      <c r="A2026" s="10">
        <v>133</v>
      </c>
      <c r="B2026" s="10">
        <v>12</v>
      </c>
      <c r="C2026" s="10" t="s">
        <v>26</v>
      </c>
      <c r="D2026" s="10" t="s">
        <v>64</v>
      </c>
      <c r="E2026" s="15">
        <f>4.584+4.172-0.154-0.218-0.105-0.04-0.017-0.55-0.02-0.038-0.038-0.01-0.074-0.283-0.025-0.038-0.016-0.018-0.23-0.074-0.074-0.129-0.096-0.096-0.018-0.02-0.02-0.038-0.233-0.075-0.039-0.182-0.092-0.02-0.039-0.038-0.023-0.043-0.017-0.022-0.039-0.074-0.016-0.038-0.038-0.019-0.012-0.075-0.02-0.017-0.038-0.02-0.837</f>
        <v>4.2510000000000021</v>
      </c>
    </row>
    <row r="2027" spans="1:5" x14ac:dyDescent="0.3">
      <c r="A2027" s="10">
        <v>133</v>
      </c>
      <c r="B2027" s="10">
        <v>12</v>
      </c>
      <c r="C2027" s="10" t="s">
        <v>28</v>
      </c>
      <c r="D2027" s="10" t="s">
        <v>1</v>
      </c>
      <c r="E2027" s="15">
        <f>5.04+2.55-0.95-1.269-0.332-0.99</f>
        <v>4.0489999999999995</v>
      </c>
    </row>
    <row r="2028" spans="1:5" x14ac:dyDescent="0.3">
      <c r="A2028" s="10">
        <v>133</v>
      </c>
      <c r="B2028" s="10">
        <v>12</v>
      </c>
      <c r="C2028" s="10" t="s">
        <v>30</v>
      </c>
      <c r="D2028" s="10" t="s">
        <v>1</v>
      </c>
      <c r="E2028" s="15">
        <f>2.715+1.795-0.933-0.075-0.045-0.024-0.027-0.035</f>
        <v>3.3709999999999996</v>
      </c>
    </row>
    <row r="2029" spans="1:5" x14ac:dyDescent="0.3">
      <c r="A2029" s="10">
        <v>133</v>
      </c>
      <c r="B2029" s="10">
        <v>13</v>
      </c>
      <c r="C2029" s="10">
        <v>20</v>
      </c>
      <c r="D2029" s="10" t="s">
        <v>1</v>
      </c>
      <c r="E2029" s="15">
        <f>1.412-0.015+4.652+1.815-0.04</f>
        <v>7.8240000000000007</v>
      </c>
    </row>
    <row r="2030" spans="1:5" x14ac:dyDescent="0.3">
      <c r="A2030" s="10">
        <v>133</v>
      </c>
      <c r="B2030" s="10">
        <v>13</v>
      </c>
      <c r="C2030" s="10">
        <v>20</v>
      </c>
      <c r="D2030" s="10" t="s">
        <v>32</v>
      </c>
      <c r="E2030" s="15">
        <f>11.627+0.196-0.047+0.117-0.047+0.438-0.112</f>
        <v>12.172000000000001</v>
      </c>
    </row>
    <row r="2031" spans="1:5" x14ac:dyDescent="0.3">
      <c r="A2031" s="10">
        <v>133</v>
      </c>
      <c r="B2031" s="10">
        <v>13</v>
      </c>
      <c r="C2031" s="10" t="s">
        <v>26</v>
      </c>
      <c r="D2031" s="10" t="s">
        <v>64</v>
      </c>
      <c r="E2031" s="15">
        <f>5.094-0.042-0.254-0.042</f>
        <v>4.7560000000000002</v>
      </c>
    </row>
    <row r="2032" spans="1:5" x14ac:dyDescent="0.3">
      <c r="A2032" s="10">
        <v>133</v>
      </c>
      <c r="B2032" s="10">
        <v>13</v>
      </c>
      <c r="C2032" s="10" t="s">
        <v>35</v>
      </c>
      <c r="D2032" s="10" t="s">
        <v>32</v>
      </c>
      <c r="E2032" s="15">
        <f>4.592+10.594-0.521-0.314-0.095-0.278-0.032</f>
        <v>13.945999999999998</v>
      </c>
    </row>
    <row r="2033" spans="1:5" x14ac:dyDescent="0.3">
      <c r="A2033" s="10">
        <v>133</v>
      </c>
      <c r="B2033" s="10">
        <v>13</v>
      </c>
      <c r="C2033" s="10" t="s">
        <v>31</v>
      </c>
      <c r="D2033" s="10" t="s">
        <v>32</v>
      </c>
      <c r="E2033" s="15">
        <f>2.445+10.205-2.107-0.38-0.34-2.208-0.381-0.094-1.877-0.133-2.475-0.086-0.046-0.379-0.127-0.015-0.088-0.057-0.053-0.053-0.367-0.019-0.016-0.015-0.045-0.028</f>
        <v>1.2609999999999988</v>
      </c>
    </row>
    <row r="2034" spans="1:5" x14ac:dyDescent="0.3">
      <c r="A2034" s="13">
        <v>133</v>
      </c>
      <c r="B2034" s="13">
        <v>14</v>
      </c>
      <c r="C2034" s="13">
        <v>20</v>
      </c>
      <c r="D2034" s="13" t="s">
        <v>1</v>
      </c>
      <c r="E2034" s="16">
        <f>0.305+1.191+0.005-0.084-0.138-0.502-0.305-0.043-0.124-0.304+0.005</f>
        <v>5.9999999999999455E-3</v>
      </c>
    </row>
    <row r="2035" spans="1:5" x14ac:dyDescent="0.3">
      <c r="A2035" s="10">
        <v>133</v>
      </c>
      <c r="B2035" s="10">
        <v>14</v>
      </c>
      <c r="C2035" s="10">
        <v>20</v>
      </c>
      <c r="D2035" s="10" t="s">
        <v>1</v>
      </c>
      <c r="E2035" s="15">
        <f>1.376-0.257-0.089-0.094-0.046-0.017-0.028-0.132-0.081-0.036-0.067-0.046</f>
        <v>0.48299999999999971</v>
      </c>
    </row>
    <row r="2036" spans="1:5" x14ac:dyDescent="0.3">
      <c r="A2036" s="10">
        <v>133</v>
      </c>
      <c r="B2036" s="10">
        <v>14</v>
      </c>
      <c r="C2036" s="10">
        <v>20</v>
      </c>
      <c r="D2036" s="10" t="s">
        <v>1</v>
      </c>
      <c r="E2036" s="15">
        <f>3.15-0.248-0.262+0.246-0.253-0.046-0.015+0.135-0.046-0.059-0.033-0.076-0.046-0.015-0.015-0.025-0.089-0.538-0.266-0.095-0.023-0.097</f>
        <v>1.284</v>
      </c>
    </row>
    <row r="2037" spans="1:5" x14ac:dyDescent="0.3">
      <c r="A2037" s="10">
        <v>133</v>
      </c>
      <c r="B2037" s="10">
        <v>14</v>
      </c>
      <c r="C2037" s="10" t="s">
        <v>26</v>
      </c>
      <c r="D2037" s="10" t="s">
        <v>64</v>
      </c>
      <c r="E2037" s="15">
        <f>3.934-0.545-0.128+3.128-0.422-0.551-0.549-0.548-0.053-0.086-1.916-0.551-0.044-0.019-0.277-0.076-0.057-0.023-0.087-0.275+4.67+0.464-1.11</f>
        <v>4.8789999999999996</v>
      </c>
    </row>
    <row r="2038" spans="1:5" x14ac:dyDescent="0.3">
      <c r="A2038" s="10">
        <v>133</v>
      </c>
      <c r="B2038" s="10">
        <v>14</v>
      </c>
      <c r="C2038" s="10">
        <v>35</v>
      </c>
      <c r="D2038" s="10" t="s">
        <v>1</v>
      </c>
      <c r="E2038" s="15">
        <f>4.948-1.03-0.244</f>
        <v>3.6740000000000004</v>
      </c>
    </row>
    <row r="2039" spans="1:5" x14ac:dyDescent="0.3">
      <c r="A2039" s="10">
        <v>133</v>
      </c>
      <c r="B2039" s="10">
        <v>14</v>
      </c>
      <c r="C2039" s="10">
        <v>45</v>
      </c>
      <c r="D2039" s="10" t="s">
        <v>1</v>
      </c>
      <c r="E2039" s="15">
        <f>2.274-0.507+2.784-1.305+0.008-0.011-0.053-0.131-0.131-0.511-0.556-1.518-0.19-0.074+0.026-0.101</f>
        <v>3.9999999999997399E-3</v>
      </c>
    </row>
    <row r="2040" spans="1:5" x14ac:dyDescent="0.3">
      <c r="A2040" s="8">
        <v>133</v>
      </c>
      <c r="B2040" s="8">
        <v>14</v>
      </c>
      <c r="C2040" s="8">
        <v>45</v>
      </c>
      <c r="D2040" s="8" t="s">
        <v>1</v>
      </c>
      <c r="E2040" s="9">
        <f>7.892-0.107-0.044</f>
        <v>7.7410000000000005</v>
      </c>
    </row>
    <row r="2041" spans="1:5" x14ac:dyDescent="0.3">
      <c r="A2041" s="10">
        <v>133</v>
      </c>
      <c r="B2041" s="10">
        <v>14.2</v>
      </c>
      <c r="C2041" s="10" t="s">
        <v>21</v>
      </c>
      <c r="D2041" s="10" t="s">
        <v>64</v>
      </c>
      <c r="E2041" s="15">
        <f>2.736-0.393-0.028-1.137-0.037-0.02-0.337-0.393+0.004</f>
        <v>0.39500000000000002</v>
      </c>
    </row>
    <row r="2042" spans="1:5" x14ac:dyDescent="0.3">
      <c r="A2042" s="10">
        <v>133</v>
      </c>
      <c r="B2042" s="10">
        <v>14</v>
      </c>
      <c r="C2042" s="10" t="s">
        <v>28</v>
      </c>
      <c r="D2042" s="10" t="s">
        <v>1</v>
      </c>
      <c r="E2042" s="15">
        <f>2.6+2.635+5.225-0.088</f>
        <v>10.372</v>
      </c>
    </row>
    <row r="2043" spans="1:5" x14ac:dyDescent="0.3">
      <c r="A2043" s="8">
        <v>133</v>
      </c>
      <c r="B2043" s="8">
        <v>14</v>
      </c>
      <c r="C2043" s="8" t="s">
        <v>30</v>
      </c>
      <c r="D2043" s="8" t="s">
        <v>1</v>
      </c>
      <c r="E2043" s="9">
        <v>5</v>
      </c>
    </row>
    <row r="2044" spans="1:5" x14ac:dyDescent="0.3">
      <c r="A2044" s="10">
        <v>133</v>
      </c>
      <c r="B2044" s="10">
        <v>15</v>
      </c>
      <c r="C2044" s="10">
        <v>45</v>
      </c>
      <c r="D2044" s="10" t="s">
        <v>1</v>
      </c>
      <c r="E2044" s="15">
        <v>0.49399999999999999</v>
      </c>
    </row>
    <row r="2045" spans="1:5" x14ac:dyDescent="0.3">
      <c r="A2045" s="10">
        <v>133</v>
      </c>
      <c r="B2045" s="10">
        <v>15</v>
      </c>
      <c r="C2045" s="10" t="s">
        <v>35</v>
      </c>
      <c r="D2045" s="10" t="s">
        <v>32</v>
      </c>
      <c r="E2045" s="15">
        <v>5.05</v>
      </c>
    </row>
    <row r="2046" spans="1:5" x14ac:dyDescent="0.3">
      <c r="A2046" s="12">
        <v>133</v>
      </c>
      <c r="B2046" s="12">
        <v>15</v>
      </c>
      <c r="C2046" s="12" t="s">
        <v>35</v>
      </c>
      <c r="D2046" s="8" t="s">
        <v>32</v>
      </c>
      <c r="E2046" s="15">
        <f>10-5.05</f>
        <v>4.95</v>
      </c>
    </row>
    <row r="2047" spans="1:5" x14ac:dyDescent="0.3">
      <c r="A2047" s="10">
        <v>133</v>
      </c>
      <c r="B2047" s="10">
        <v>16</v>
      </c>
      <c r="C2047" s="10">
        <v>20</v>
      </c>
      <c r="D2047" s="10" t="s">
        <v>1</v>
      </c>
      <c r="E2047" s="15">
        <f>0.512-0.021-0.101+6.004-0.269+0.728-2.183-0.267-0.272-0.268-0.146-0.027-0.263-0.531-0.142+4.92-0.094-0.026-0.096-0.049-0.076-0.272-0.05-0.026-0.022-0.192</f>
        <v>6.7709999999999981</v>
      </c>
    </row>
    <row r="2048" spans="1:5" x14ac:dyDescent="0.3">
      <c r="A2048" s="10">
        <v>133</v>
      </c>
      <c r="B2048" s="10">
        <v>16</v>
      </c>
      <c r="C2048" s="10" t="s">
        <v>26</v>
      </c>
      <c r="D2048" s="10" t="s">
        <v>1</v>
      </c>
      <c r="E2048" s="15">
        <f>8.04-0.53+1.22-0.533-0.143-0.101-0.146-0.031-0.247-0.05-0.048-0.536-0.143-0.096-0.061-0.106-0.271-0.144-0.049-0.05-0.019-0.077-0.267-0.268-0.326-0.791-0.06-0.259</f>
        <v>3.9079999999999999</v>
      </c>
    </row>
    <row r="2049" spans="1:5" x14ac:dyDescent="0.3">
      <c r="A2049" s="10">
        <v>133</v>
      </c>
      <c r="B2049" s="10">
        <v>16</v>
      </c>
      <c r="C2049" s="10">
        <v>45</v>
      </c>
      <c r="D2049" s="10" t="s">
        <v>1</v>
      </c>
      <c r="E2049" s="15">
        <f>3.6+7.33-2.604-1.299-0.052-0.034-0.029-0.262-0.114-0.041-0.148-0.26-0.497-5.705+0.225</f>
        <v>0.11000000000000246</v>
      </c>
    </row>
    <row r="2050" spans="1:5" x14ac:dyDescent="0.3">
      <c r="A2050" s="10">
        <v>133</v>
      </c>
      <c r="B2050" s="10">
        <v>16</v>
      </c>
      <c r="C2050" s="10">
        <v>45</v>
      </c>
      <c r="D2050" s="10" t="s">
        <v>1</v>
      </c>
      <c r="E2050" s="15">
        <f>5.705</f>
        <v>5.7050000000000001</v>
      </c>
    </row>
    <row r="2051" spans="1:5" x14ac:dyDescent="0.3">
      <c r="A2051" s="10">
        <v>133</v>
      </c>
      <c r="B2051" s="10">
        <v>16</v>
      </c>
      <c r="C2051" s="10" t="s">
        <v>28</v>
      </c>
      <c r="D2051" s="10" t="s">
        <v>1</v>
      </c>
      <c r="E2051" s="15">
        <v>1.7190000000000001</v>
      </c>
    </row>
    <row r="2052" spans="1:5" x14ac:dyDescent="0.3">
      <c r="A2052" s="10">
        <v>133</v>
      </c>
      <c r="B2052" s="10">
        <v>16</v>
      </c>
      <c r="C2052" s="10" t="s">
        <v>28</v>
      </c>
      <c r="D2052" s="10" t="s">
        <v>1</v>
      </c>
      <c r="E2052" s="15">
        <f>13.005+2.3</f>
        <v>15.305</v>
      </c>
    </row>
    <row r="2053" spans="1:5" x14ac:dyDescent="0.3">
      <c r="A2053" s="10">
        <v>133</v>
      </c>
      <c r="B2053" s="10">
        <v>16</v>
      </c>
      <c r="C2053" s="10" t="s">
        <v>30</v>
      </c>
      <c r="D2053" s="10" t="s">
        <v>1</v>
      </c>
      <c r="E2053" s="15">
        <f>5.32-0.035-0.434-0.199-0.051-0.142-0.052-0.035-0.052-0.199-4.095+0.057</f>
        <v>8.3000000000000684E-2</v>
      </c>
    </row>
    <row r="2054" spans="1:5" x14ac:dyDescent="0.3">
      <c r="A2054" s="10">
        <v>133</v>
      </c>
      <c r="B2054" s="10">
        <v>16</v>
      </c>
      <c r="C2054" s="10" t="s">
        <v>30</v>
      </c>
      <c r="D2054" s="10" t="s">
        <v>1</v>
      </c>
      <c r="E2054" s="15">
        <v>4.0949999999999998</v>
      </c>
    </row>
    <row r="2055" spans="1:5" x14ac:dyDescent="0.3">
      <c r="A2055" s="10">
        <v>133</v>
      </c>
      <c r="B2055" s="10">
        <v>17</v>
      </c>
      <c r="C2055" s="10">
        <v>20</v>
      </c>
      <c r="D2055" s="10" t="s">
        <v>32</v>
      </c>
      <c r="E2055" s="15">
        <f>7.6+0.471-1.305-0.265-0.018-0.018-0.021-0.018-0.022-0.107-0.212-0.766-0.065-3.53</f>
        <v>1.7240000000000006</v>
      </c>
    </row>
    <row r="2056" spans="1:5" x14ac:dyDescent="0.3">
      <c r="A2056" s="10">
        <v>133</v>
      </c>
      <c r="B2056" s="10">
        <v>17</v>
      </c>
      <c r="C2056" s="10">
        <v>20</v>
      </c>
      <c r="D2056" s="10" t="s">
        <v>32</v>
      </c>
      <c r="E2056" s="15">
        <f>0.766+3.53</f>
        <v>4.2959999999999994</v>
      </c>
    </row>
    <row r="2057" spans="1:5" x14ac:dyDescent="0.3">
      <c r="A2057" s="10">
        <v>133</v>
      </c>
      <c r="B2057" s="10">
        <v>17</v>
      </c>
      <c r="C2057" s="10" t="s">
        <v>26</v>
      </c>
      <c r="D2057" s="10" t="s">
        <v>1</v>
      </c>
      <c r="E2057" s="15">
        <f>5.28-0.161-0.027-1.952-0.013-0.083-0.362-0.026-0.008-0.373-0.077-0.078-0.77-0.784-0.298</f>
        <v>0.26800000000000052</v>
      </c>
    </row>
    <row r="2058" spans="1:5" x14ac:dyDescent="0.3">
      <c r="A2058" s="10">
        <v>133</v>
      </c>
      <c r="B2058" s="10">
        <v>17</v>
      </c>
      <c r="C2058" s="10" t="s">
        <v>36</v>
      </c>
      <c r="D2058" s="10" t="s">
        <v>1</v>
      </c>
      <c r="E2058" s="15">
        <f>5.506-0.47-0.258-0.452-0.464-0.462-3.216</f>
        <v>0.18400000000000016</v>
      </c>
    </row>
    <row r="2059" spans="1:5" x14ac:dyDescent="0.3">
      <c r="A2059" s="10">
        <v>133</v>
      </c>
      <c r="B2059" s="10">
        <v>17</v>
      </c>
      <c r="C2059" s="10" t="s">
        <v>36</v>
      </c>
      <c r="D2059" s="10" t="s">
        <v>1</v>
      </c>
      <c r="E2059" s="15">
        <f>3.216-0.076</f>
        <v>3.14</v>
      </c>
    </row>
    <row r="2060" spans="1:5" x14ac:dyDescent="0.3">
      <c r="A2060" s="10">
        <v>133</v>
      </c>
      <c r="B2060" s="10">
        <v>17</v>
      </c>
      <c r="C2060" s="10" t="s">
        <v>106</v>
      </c>
      <c r="D2060" s="10" t="s">
        <v>1</v>
      </c>
      <c r="E2060" s="15">
        <f>2.695+2.34-0.078</f>
        <v>4.9569999999999999</v>
      </c>
    </row>
    <row r="2061" spans="1:5" x14ac:dyDescent="0.3">
      <c r="A2061" s="8">
        <v>133</v>
      </c>
      <c r="B2061" s="8">
        <v>17</v>
      </c>
      <c r="C2061" s="8" t="s">
        <v>31</v>
      </c>
      <c r="D2061" s="8" t="s">
        <v>32</v>
      </c>
      <c r="E2061" s="9">
        <f>11.3-0.571-0.29-0.322-0.643-0.035-0.055-0.896-0.055-0.076-2.505-0.17-0.311-0.055-0.042-0.086-0.037-1.559-0.055-0.108-0.098-0.106-0.296</f>
        <v>2.9290000000000016</v>
      </c>
    </row>
    <row r="2062" spans="1:5" x14ac:dyDescent="0.3">
      <c r="A2062" s="8">
        <v>133</v>
      </c>
      <c r="B2062" s="8">
        <v>18</v>
      </c>
      <c r="C2062" s="8">
        <v>20</v>
      </c>
      <c r="D2062" s="8" t="s">
        <v>1</v>
      </c>
      <c r="E2062" s="9">
        <v>5</v>
      </c>
    </row>
    <row r="2063" spans="1:5" x14ac:dyDescent="0.3">
      <c r="A2063" s="10">
        <v>133</v>
      </c>
      <c r="B2063" s="10">
        <v>18</v>
      </c>
      <c r="C2063" s="10" t="s">
        <v>26</v>
      </c>
      <c r="D2063" s="10" t="s">
        <v>64</v>
      </c>
      <c r="E2063" s="15">
        <f>2.8+11.81-0.117-0.028+0.39-0.158-0.055-0.029+0.64-0.21-0.053-1.086-0.352-0.39-0.078-0.211-0.21-0.21-0.026-0.106-0.159-0.019-0.024-0.796-0.12-0.029-0.211-0.055-0.828-0.417-0.055-0.107</f>
        <v>9.5009999999999994</v>
      </c>
    </row>
    <row r="2064" spans="1:5" x14ac:dyDescent="0.3">
      <c r="A2064" s="8">
        <v>133</v>
      </c>
      <c r="B2064" s="8">
        <v>18</v>
      </c>
      <c r="C2064" s="8">
        <v>45</v>
      </c>
      <c r="D2064" s="8" t="s">
        <v>1</v>
      </c>
      <c r="E2064" s="9">
        <v>5</v>
      </c>
    </row>
    <row r="2065" spans="1:5" x14ac:dyDescent="0.3">
      <c r="A2065" s="10">
        <v>133</v>
      </c>
      <c r="B2065" s="10">
        <v>18</v>
      </c>
      <c r="C2065" s="10" t="s">
        <v>30</v>
      </c>
      <c r="D2065" s="10" t="s">
        <v>1</v>
      </c>
      <c r="E2065" s="15">
        <f>2.244-0.157-0.55-0.379+5.183-0.992-0.676-0.181-0.369-0.345-0.023-0.148-0.072-0.13-0.06-0.01-0.353</f>
        <v>2.9820000000000002</v>
      </c>
    </row>
    <row r="2066" spans="1:5" x14ac:dyDescent="0.3">
      <c r="A2066" s="8">
        <v>133</v>
      </c>
      <c r="B2066" s="8">
        <v>20</v>
      </c>
      <c r="C2066" s="8">
        <v>20</v>
      </c>
      <c r="D2066" s="8" t="s">
        <v>1</v>
      </c>
      <c r="E2066" s="9">
        <f>2.95+2.11-0.043-0.078-0.061-0.118-0.032-0.029-0.031-0.304-0.025+5.497-0.1-0.066-0.088-0.35-0.511-0.866-0.072</f>
        <v>7.7830000000000004</v>
      </c>
    </row>
    <row r="2067" spans="1:5" x14ac:dyDescent="0.3">
      <c r="A2067" s="10">
        <v>133</v>
      </c>
      <c r="B2067" s="10">
        <v>20</v>
      </c>
      <c r="C2067" s="10">
        <v>20</v>
      </c>
      <c r="D2067" s="10" t="s">
        <v>32</v>
      </c>
      <c r="E2067" s="15">
        <v>9.7200000000000006</v>
      </c>
    </row>
    <row r="2068" spans="1:5" x14ac:dyDescent="0.3">
      <c r="A2068" s="8">
        <v>133</v>
      </c>
      <c r="B2068" s="8">
        <v>20</v>
      </c>
      <c r="C2068" s="8">
        <v>35</v>
      </c>
      <c r="D2068" s="8" t="s">
        <v>1</v>
      </c>
      <c r="E2068" s="9">
        <v>5</v>
      </c>
    </row>
    <row r="2069" spans="1:5" x14ac:dyDescent="0.3">
      <c r="A2069" s="10">
        <v>133</v>
      </c>
      <c r="B2069" s="10">
        <v>20</v>
      </c>
      <c r="C2069" s="10">
        <v>45</v>
      </c>
      <c r="D2069" s="10" t="s">
        <v>1</v>
      </c>
      <c r="E2069" s="15">
        <f>4.525+5.005-0.059-0.093-0.464-0.215</f>
        <v>8.6990000000000016</v>
      </c>
    </row>
    <row r="2070" spans="1:5" x14ac:dyDescent="0.3">
      <c r="A2070" s="10">
        <v>133</v>
      </c>
      <c r="B2070" s="10">
        <v>20</v>
      </c>
      <c r="C2070" s="10" t="s">
        <v>28</v>
      </c>
      <c r="D2070" s="10" t="s">
        <v>1</v>
      </c>
      <c r="E2070" s="15">
        <f>10.439-0.526-1.578-0.17-1.039-0.348-0.52-1.572-1.042+0.007-0.526-0.142-0.086-0.058-1.039-0.115-0.119-0.114+14.72-0.346-0.048-0.695-0.114-0.247-0.17-0.349-0.884-0.522-0.114-0.125-2.112-0.348+10.065+5.255+1.387-0.351-0.087-0.344-0.35-0.35-0.031-0.157-1.242-0.35-10.457-3.512-0.526-6.583-0.033</f>
        <v>2.4319999999999911</v>
      </c>
    </row>
    <row r="2071" spans="1:5" x14ac:dyDescent="0.3">
      <c r="A2071" s="10">
        <v>133</v>
      </c>
      <c r="B2071" s="10">
        <v>20</v>
      </c>
      <c r="C2071" s="10" t="s">
        <v>28</v>
      </c>
      <c r="D2071" s="10" t="s">
        <v>1</v>
      </c>
      <c r="E2071" s="15">
        <f>10.457+3.512+0.526-0.058-0.043+6.583</f>
        <v>20.977000000000004</v>
      </c>
    </row>
    <row r="2072" spans="1:5" x14ac:dyDescent="0.3">
      <c r="A2072" s="10">
        <v>133</v>
      </c>
      <c r="B2072" s="10">
        <v>20</v>
      </c>
      <c r="C2072" s="10" t="s">
        <v>30</v>
      </c>
      <c r="D2072" s="10" t="s">
        <v>1</v>
      </c>
      <c r="E2072" s="15">
        <f>7.888-0.06-0.06-0.343-0.415+1.592-0.059+1.627-0.06-0.173-0.173-0.092-0.361-0.173+0.024-0.128-0.024-0.352-0.077-0.716-0.357-0.048-0.014-3.219-0.233-0.357-0.345-0.145-0.048-0.355</f>
        <v>2.7439999999999989</v>
      </c>
    </row>
    <row r="2073" spans="1:5" x14ac:dyDescent="0.3">
      <c r="A2073" s="10">
        <v>133</v>
      </c>
      <c r="B2073" s="10">
        <v>20</v>
      </c>
      <c r="C2073" s="10" t="s">
        <v>30</v>
      </c>
      <c r="D2073" s="10" t="s">
        <v>1</v>
      </c>
      <c r="E2073" s="15">
        <v>3.2189999999999999</v>
      </c>
    </row>
    <row r="2074" spans="1:5" x14ac:dyDescent="0.3">
      <c r="A2074" s="10">
        <v>133</v>
      </c>
      <c r="B2074" s="10">
        <v>20</v>
      </c>
      <c r="C2074" s="10" t="s">
        <v>31</v>
      </c>
      <c r="D2074" s="10" t="s">
        <v>32</v>
      </c>
      <c r="E2074" s="15">
        <f>11.6-0.146-0.185-0.05-0.095-0.033-0.021+1.37-0.019+0.8-0.035-0.125-0.436-0.13-0.022</f>
        <v>12.472999999999997</v>
      </c>
    </row>
    <row r="2075" spans="1:5" x14ac:dyDescent="0.3">
      <c r="A2075" s="10">
        <v>133</v>
      </c>
      <c r="B2075" s="10">
        <v>22</v>
      </c>
      <c r="C2075" s="10" t="s">
        <v>28</v>
      </c>
      <c r="D2075" s="10" t="s">
        <v>15</v>
      </c>
      <c r="E2075" s="15">
        <f>5.409-0.368-0.329-0.91-0.097-0.187-0.47-1.368-0.467-0.96-0.121-0.12+3.065-0.062-0.125-0.341-0.093-0.431-0.526</f>
        <v>1.4989999999999999</v>
      </c>
    </row>
    <row r="2076" spans="1:5" x14ac:dyDescent="0.3">
      <c r="A2076" s="10">
        <v>133</v>
      </c>
      <c r="B2076" s="10">
        <v>22</v>
      </c>
      <c r="C2076" s="10" t="s">
        <v>28</v>
      </c>
      <c r="D2076" s="10" t="s">
        <v>1</v>
      </c>
      <c r="E2076" s="15">
        <f>4.625-0.525</f>
        <v>4.0999999999999996</v>
      </c>
    </row>
    <row r="2077" spans="1:5" x14ac:dyDescent="0.3">
      <c r="A2077" s="10">
        <v>133</v>
      </c>
      <c r="B2077" s="10">
        <v>22</v>
      </c>
      <c r="C2077" s="10" t="s">
        <v>30</v>
      </c>
      <c r="D2077" s="10" t="s">
        <v>1</v>
      </c>
      <c r="E2077" s="15">
        <f>0.52+2.575+2.545-0.033-0.011-0.095</f>
        <v>5.5010000000000003</v>
      </c>
    </row>
    <row r="2078" spans="1:5" x14ac:dyDescent="0.3">
      <c r="A2078" s="10">
        <v>133</v>
      </c>
      <c r="B2078" s="10">
        <v>25</v>
      </c>
      <c r="C2078" s="10">
        <v>20</v>
      </c>
      <c r="D2078" s="10" t="s">
        <v>1</v>
      </c>
      <c r="E2078" s="15">
        <f>5.115-0.238+0.505-0.259-1.062-0.137-0.054-0.121-0.084-0.098-0.09-0.043-0.506-0.071-0.037-0.07-0.203-0.031-0.103-0.422-0.272-0.034-0.034-0.034-0.205-0.05-0.037-0.292-0.031-0.272-0.158-0.314</f>
        <v>0.25799999999999973</v>
      </c>
    </row>
    <row r="2079" spans="1:5" x14ac:dyDescent="0.3">
      <c r="A2079" s="8">
        <v>133</v>
      </c>
      <c r="B2079" s="8">
        <v>25</v>
      </c>
      <c r="C2079" s="8">
        <v>20</v>
      </c>
      <c r="D2079" s="8" t="s">
        <v>1</v>
      </c>
      <c r="E2079" s="9">
        <v>5</v>
      </c>
    </row>
    <row r="2080" spans="1:5" x14ac:dyDescent="0.3">
      <c r="A2080" s="10">
        <v>133</v>
      </c>
      <c r="B2080" s="10">
        <v>25</v>
      </c>
      <c r="C2080" s="10" t="s">
        <v>26</v>
      </c>
      <c r="D2080" s="10" t="s">
        <v>64</v>
      </c>
      <c r="E2080" s="15">
        <f>10.33-0.137-0.037-0.05-0.439-0.216-0.071-0.165-1.332-0.876-0.07-0.071-0.436-0.025-1.74-0.428-0.306-0.17-0.436-0.135-0.205-0.439-0.071-0.883-0.138-0.143</f>
        <v>1.3109999999999993</v>
      </c>
    </row>
    <row r="2081" spans="1:5" x14ac:dyDescent="0.3">
      <c r="A2081" s="10">
        <v>133</v>
      </c>
      <c r="B2081" s="10">
        <v>25</v>
      </c>
      <c r="C2081" s="10">
        <v>35</v>
      </c>
      <c r="D2081" s="10" t="s">
        <v>1</v>
      </c>
      <c r="E2081" s="15">
        <f>14.934-0.069+5.09+0.505-1.37-1.042-0.27-0.103-0.204-0.24-0.203-0.27-0.203-5.19</f>
        <v>11.364999999999995</v>
      </c>
    </row>
    <row r="2082" spans="1:5" x14ac:dyDescent="0.3">
      <c r="A2082" s="10">
        <v>133</v>
      </c>
      <c r="B2082" s="10">
        <v>25</v>
      </c>
      <c r="C2082" s="10">
        <v>35</v>
      </c>
      <c r="D2082" s="10" t="s">
        <v>1</v>
      </c>
      <c r="E2082" s="15">
        <f>5.19-1.047</f>
        <v>4.1430000000000007</v>
      </c>
    </row>
    <row r="2083" spans="1:5" x14ac:dyDescent="0.3">
      <c r="A2083" s="10">
        <v>133</v>
      </c>
      <c r="B2083" s="10">
        <v>25</v>
      </c>
      <c r="C2083" s="10">
        <v>45</v>
      </c>
      <c r="D2083" s="10" t="s">
        <v>1</v>
      </c>
      <c r="E2083" s="15">
        <f>6.95-0.137-0.461-0.317-0.529-0.455-0.173-0.289-0.027-0.071-0.528-0.203-1.572-0.228-0.071-0.523-0.137-0.071+0.45-0.45-0.043-0.205</f>
        <v>0.9100000000000007</v>
      </c>
    </row>
    <row r="2084" spans="1:5" x14ac:dyDescent="0.3">
      <c r="A2084" s="10">
        <v>133</v>
      </c>
      <c r="B2084" s="10">
        <v>25</v>
      </c>
      <c r="C2084" s="10">
        <v>45</v>
      </c>
      <c r="D2084" s="10" t="s">
        <v>1</v>
      </c>
      <c r="E2084" s="15">
        <v>0.45</v>
      </c>
    </row>
    <row r="2085" spans="1:5" x14ac:dyDescent="0.3">
      <c r="A2085" s="8">
        <v>133</v>
      </c>
      <c r="B2085" s="8">
        <v>25</v>
      </c>
      <c r="C2085" s="8">
        <v>45</v>
      </c>
      <c r="D2085" s="8" t="s">
        <v>1</v>
      </c>
      <c r="E2085" s="9">
        <v>5</v>
      </c>
    </row>
    <row r="2086" spans="1:5" x14ac:dyDescent="0.3">
      <c r="A2086" s="10">
        <v>133</v>
      </c>
      <c r="B2086" s="10">
        <v>25</v>
      </c>
      <c r="C2086" s="10" t="s">
        <v>28</v>
      </c>
      <c r="D2086" s="10" t="s">
        <v>1</v>
      </c>
      <c r="E2086" s="15">
        <f>5.73+1.145-2.975-0.223-0.35-0.591+0.505+2.545+2.555+1.165</f>
        <v>9.5060000000000002</v>
      </c>
    </row>
    <row r="2087" spans="1:5" x14ac:dyDescent="0.3">
      <c r="A2087" s="10">
        <v>133</v>
      </c>
      <c r="B2087" s="10">
        <v>25</v>
      </c>
      <c r="C2087" s="10" t="s">
        <v>30</v>
      </c>
      <c r="D2087" s="10" t="s">
        <v>1</v>
      </c>
      <c r="E2087" s="15">
        <f>7.25-0.515-0.136-0.528-0.047-0.157-1.574-0.525-0.057-4.716+1.135</f>
        <v>0.13000000000000012</v>
      </c>
    </row>
    <row r="2088" spans="1:5" x14ac:dyDescent="0.3">
      <c r="A2088" s="10">
        <v>133</v>
      </c>
      <c r="B2088" s="10">
        <v>25</v>
      </c>
      <c r="C2088" s="10" t="s">
        <v>30</v>
      </c>
      <c r="D2088" s="10" t="s">
        <v>1</v>
      </c>
      <c r="E2088" s="15">
        <f>4.716-0.137</f>
        <v>4.5790000000000006</v>
      </c>
    </row>
    <row r="2089" spans="1:5" x14ac:dyDescent="0.3">
      <c r="A2089" s="10">
        <v>133</v>
      </c>
      <c r="B2089" s="10">
        <v>26</v>
      </c>
      <c r="C2089" s="10">
        <v>35</v>
      </c>
      <c r="D2089" s="10" t="s">
        <v>1</v>
      </c>
      <c r="E2089" s="15">
        <f>9.925-0.52-1.03-0.402-1.049-1.037-0.03-0.536-0.28-1.052-0.211</f>
        <v>3.7780000000000014</v>
      </c>
    </row>
    <row r="2090" spans="1:5" x14ac:dyDescent="0.3">
      <c r="A2090" s="10">
        <v>133</v>
      </c>
      <c r="B2090" s="10">
        <v>26</v>
      </c>
      <c r="C2090" s="10" t="s">
        <v>106</v>
      </c>
      <c r="D2090" s="10" t="s">
        <v>1</v>
      </c>
      <c r="E2090" s="15">
        <f>2.75-0.706-0.706-0.353-0.706+2.801</f>
        <v>3.08</v>
      </c>
    </row>
    <row r="2091" spans="1:5" x14ac:dyDescent="0.3">
      <c r="A2091" s="8">
        <v>133</v>
      </c>
      <c r="B2091" s="8">
        <v>28</v>
      </c>
      <c r="C2091" s="8">
        <v>20</v>
      </c>
      <c r="D2091" s="8" t="s">
        <v>1</v>
      </c>
      <c r="E2091" s="9">
        <v>5</v>
      </c>
    </row>
    <row r="2092" spans="1:5" x14ac:dyDescent="0.3">
      <c r="A2092" s="10">
        <v>133</v>
      </c>
      <c r="B2092" s="10">
        <v>28</v>
      </c>
      <c r="C2092" s="10" t="s">
        <v>26</v>
      </c>
      <c r="D2092" s="10" t="s">
        <v>64</v>
      </c>
      <c r="E2092" s="15">
        <f>9.18-0.222-0.15</f>
        <v>8.8079999999999998</v>
      </c>
    </row>
    <row r="2093" spans="1:5" x14ac:dyDescent="0.3">
      <c r="A2093" s="8">
        <v>133</v>
      </c>
      <c r="B2093" s="8">
        <v>28</v>
      </c>
      <c r="C2093" s="8" t="s">
        <v>26</v>
      </c>
      <c r="D2093" s="8" t="s">
        <v>46</v>
      </c>
      <c r="E2093" s="9">
        <f>10-6.77</f>
        <v>3.2300000000000004</v>
      </c>
    </row>
    <row r="2094" spans="1:5" x14ac:dyDescent="0.3">
      <c r="A2094" s="8">
        <v>133</v>
      </c>
      <c r="B2094" s="8">
        <v>28</v>
      </c>
      <c r="C2094" s="8">
        <v>35</v>
      </c>
      <c r="D2094" s="8" t="s">
        <v>1</v>
      </c>
      <c r="E2094" s="9">
        <v>5</v>
      </c>
    </row>
    <row r="2095" spans="1:5" x14ac:dyDescent="0.3">
      <c r="A2095" s="8">
        <v>133</v>
      </c>
      <c r="B2095" s="8">
        <v>28</v>
      </c>
      <c r="C2095" s="8">
        <v>45</v>
      </c>
      <c r="D2095" s="8" t="s">
        <v>1</v>
      </c>
      <c r="E2095" s="9">
        <v>5</v>
      </c>
    </row>
    <row r="2096" spans="1:5" x14ac:dyDescent="0.3">
      <c r="A2096" s="10">
        <v>133</v>
      </c>
      <c r="B2096" s="10">
        <v>28</v>
      </c>
      <c r="C2096" s="10" t="s">
        <v>28</v>
      </c>
      <c r="D2096" s="10" t="s">
        <v>1</v>
      </c>
      <c r="E2096" s="15">
        <f>2.28+2.875+1.725+1.72</f>
        <v>8.6</v>
      </c>
    </row>
    <row r="2097" spans="1:5" x14ac:dyDescent="0.3">
      <c r="A2097" s="10">
        <v>133</v>
      </c>
      <c r="B2097" s="10">
        <v>28</v>
      </c>
      <c r="C2097" s="10" t="s">
        <v>30</v>
      </c>
      <c r="D2097" s="10" t="s">
        <v>1</v>
      </c>
      <c r="E2097" s="15">
        <f>7.48-0.113-0.539+0.535-2.173-0.148-1.121-0.049-0.22</f>
        <v>3.6520000000000006</v>
      </c>
    </row>
    <row r="2098" spans="1:5" x14ac:dyDescent="0.3">
      <c r="A2098" s="10">
        <v>133</v>
      </c>
      <c r="B2098" s="10">
        <v>28</v>
      </c>
      <c r="C2098" s="10" t="s">
        <v>30</v>
      </c>
      <c r="D2098" s="10" t="s">
        <v>1</v>
      </c>
      <c r="E2098" s="15">
        <f>5.505-0.268</f>
        <v>5.2370000000000001</v>
      </c>
    </row>
    <row r="2099" spans="1:5" x14ac:dyDescent="0.3">
      <c r="A2099" s="10">
        <v>133</v>
      </c>
      <c r="B2099" s="10">
        <v>28</v>
      </c>
      <c r="C2099" s="10" t="s">
        <v>106</v>
      </c>
      <c r="D2099" s="10" t="s">
        <v>1</v>
      </c>
      <c r="E2099" s="15">
        <f>1.03+2.58+2.07</f>
        <v>5.68</v>
      </c>
    </row>
    <row r="2100" spans="1:5" x14ac:dyDescent="0.3">
      <c r="A2100" s="10">
        <v>133</v>
      </c>
      <c r="B2100" s="10">
        <v>30</v>
      </c>
      <c r="C2100" s="10">
        <v>20</v>
      </c>
      <c r="D2100" s="10" t="s">
        <v>1</v>
      </c>
      <c r="E2100" s="15">
        <f>4.6-0.418-0.158-0.478-0.254-0.235-0.177-0.421</f>
        <v>2.4589999999999996</v>
      </c>
    </row>
    <row r="2101" spans="1:5" x14ac:dyDescent="0.3">
      <c r="A2101" s="8">
        <v>133</v>
      </c>
      <c r="B2101" s="8">
        <v>30</v>
      </c>
      <c r="C2101" s="8">
        <v>45</v>
      </c>
      <c r="D2101" s="8" t="s">
        <v>1</v>
      </c>
      <c r="E2101" s="9">
        <v>5</v>
      </c>
    </row>
    <row r="2102" spans="1:5" x14ac:dyDescent="0.3">
      <c r="A2102" s="8">
        <v>133</v>
      </c>
      <c r="B2102" s="8">
        <v>30</v>
      </c>
      <c r="C2102" s="8" t="s">
        <v>36</v>
      </c>
      <c r="D2102" s="8" t="s">
        <v>1</v>
      </c>
      <c r="E2102" s="9">
        <v>10</v>
      </c>
    </row>
    <row r="2103" spans="1:5" x14ac:dyDescent="0.3">
      <c r="A2103" s="10">
        <v>133</v>
      </c>
      <c r="B2103" s="10">
        <v>30</v>
      </c>
      <c r="C2103" s="10" t="s">
        <v>28</v>
      </c>
      <c r="D2103" s="10" t="s">
        <v>15</v>
      </c>
      <c r="E2103" s="15">
        <f>4.995-2.05-1.47-0.525-0.388-0.047-0.513+0.063</f>
        <v>6.5000000000000224E-2</v>
      </c>
    </row>
    <row r="2104" spans="1:5" x14ac:dyDescent="0.3">
      <c r="A2104" s="10">
        <v>133</v>
      </c>
      <c r="B2104" s="10">
        <v>30</v>
      </c>
      <c r="C2104" s="10" t="s">
        <v>28</v>
      </c>
      <c r="D2104" s="10" t="s">
        <v>1</v>
      </c>
      <c r="E2104" s="15">
        <f>4.6+2.86-0.185-0.196-0.388-0.158-0.211</f>
        <v>6.3219999999999992</v>
      </c>
    </row>
    <row r="2105" spans="1:5" x14ac:dyDescent="0.3">
      <c r="A2105" s="8">
        <v>133</v>
      </c>
      <c r="B2105" s="8">
        <v>30</v>
      </c>
      <c r="C2105" s="8" t="s">
        <v>30</v>
      </c>
      <c r="D2105" s="8" t="s">
        <v>1</v>
      </c>
      <c r="E2105" s="9">
        <v>5</v>
      </c>
    </row>
    <row r="2106" spans="1:5" x14ac:dyDescent="0.3">
      <c r="A2106" s="8">
        <v>133</v>
      </c>
      <c r="B2106" s="8">
        <v>32</v>
      </c>
      <c r="C2106" s="8">
        <v>20</v>
      </c>
      <c r="D2106" s="8" t="s">
        <v>1</v>
      </c>
      <c r="E2106" s="9">
        <v>5</v>
      </c>
    </row>
    <row r="2107" spans="1:5" x14ac:dyDescent="0.3">
      <c r="A2107" s="10">
        <v>133</v>
      </c>
      <c r="B2107" s="10">
        <v>32</v>
      </c>
      <c r="C2107" s="10" t="s">
        <v>26</v>
      </c>
      <c r="D2107" s="10" t="s">
        <v>64</v>
      </c>
      <c r="E2107" s="15">
        <f>5.542-0.167-0.396-0.1-0.516-0.092-0.14-0.083-0.02-4.02</f>
        <v>8.0000000000017835E-3</v>
      </c>
    </row>
    <row r="2108" spans="1:5" x14ac:dyDescent="0.3">
      <c r="A2108" s="10">
        <v>133</v>
      </c>
      <c r="B2108" s="10">
        <v>32</v>
      </c>
      <c r="C2108" s="10" t="s">
        <v>26</v>
      </c>
      <c r="D2108" s="10" t="s">
        <v>64</v>
      </c>
      <c r="E2108" s="15">
        <f>7.11-0.327-0.518-0.247-0.04-0.19-0.409-0.517-0.514-0.235-0.517-0.524</f>
        <v>3.0719999999999996</v>
      </c>
    </row>
    <row r="2109" spans="1:5" x14ac:dyDescent="0.3">
      <c r="A2109" s="8">
        <v>133</v>
      </c>
      <c r="B2109" s="8">
        <v>32</v>
      </c>
      <c r="C2109" s="8">
        <v>35</v>
      </c>
      <c r="D2109" s="8" t="s">
        <v>1</v>
      </c>
      <c r="E2109" s="9">
        <v>5</v>
      </c>
    </row>
    <row r="2110" spans="1:5" x14ac:dyDescent="0.3">
      <c r="A2110" s="8">
        <v>133</v>
      </c>
      <c r="B2110" s="8">
        <v>32</v>
      </c>
      <c r="C2110" s="8">
        <v>45</v>
      </c>
      <c r="D2110" s="8" t="s">
        <v>1</v>
      </c>
      <c r="E2110" s="9">
        <v>5</v>
      </c>
    </row>
    <row r="2111" spans="1:5" x14ac:dyDescent="0.3">
      <c r="A2111" s="10">
        <v>133</v>
      </c>
      <c r="B2111" s="10">
        <v>32</v>
      </c>
      <c r="C2111" s="10" t="s">
        <v>28</v>
      </c>
      <c r="D2111" s="10" t="s">
        <v>1</v>
      </c>
      <c r="E2111" s="15">
        <v>5</v>
      </c>
    </row>
    <row r="2112" spans="1:5" x14ac:dyDescent="0.3">
      <c r="A2112" s="10">
        <v>133</v>
      </c>
      <c r="B2112" s="10">
        <v>32</v>
      </c>
      <c r="C2112" s="10" t="s">
        <v>30</v>
      </c>
      <c r="D2112" s="10" t="s">
        <v>1</v>
      </c>
      <c r="E2112" s="15">
        <f>10.08-0.296-0.486-0.907-0.476-0.115-0.341-5.044-0.083-0.243-0.667-0.454-0.468-0.45+7.45-0.544+0.535-0.244-0.838-0.244-0.304-5.441-0.096</f>
        <v>0.32399999999999995</v>
      </c>
    </row>
    <row r="2113" spans="1:5" x14ac:dyDescent="0.3">
      <c r="A2113" s="10">
        <v>133</v>
      </c>
      <c r="B2113" s="10">
        <v>32</v>
      </c>
      <c r="C2113" s="10" t="s">
        <v>30</v>
      </c>
      <c r="D2113" s="10" t="s">
        <v>1</v>
      </c>
      <c r="E2113" s="15">
        <f>2.51+2.51+2.53+2.25</f>
        <v>9.7999999999999989</v>
      </c>
    </row>
    <row r="2114" spans="1:5" x14ac:dyDescent="0.3">
      <c r="A2114" s="10">
        <v>133</v>
      </c>
      <c r="B2114" s="10">
        <v>34</v>
      </c>
      <c r="C2114" s="10" t="s">
        <v>30</v>
      </c>
      <c r="D2114" s="10" t="s">
        <v>1</v>
      </c>
      <c r="E2114" s="15">
        <f>5.44-0.072-1.999</f>
        <v>3.3690000000000002</v>
      </c>
    </row>
    <row r="2115" spans="1:5" x14ac:dyDescent="0.3">
      <c r="A2115" s="8">
        <v>133</v>
      </c>
      <c r="B2115" s="8">
        <v>36</v>
      </c>
      <c r="C2115" s="8">
        <v>20</v>
      </c>
      <c r="D2115" s="8" t="s">
        <v>1</v>
      </c>
      <c r="E2115" s="9">
        <v>5</v>
      </c>
    </row>
    <row r="2116" spans="1:5" x14ac:dyDescent="0.3">
      <c r="A2116" s="10">
        <v>133</v>
      </c>
      <c r="B2116" s="10">
        <v>36</v>
      </c>
      <c r="C2116" s="10" t="s">
        <v>26</v>
      </c>
      <c r="D2116" s="10" t="s">
        <v>1</v>
      </c>
      <c r="E2116" s="15">
        <f>3.13+1.91-0.238-0.053-0.091-0.096-0.092-0.083-0.654-0.177-0.265-0.64-0.066-0.178-0.091-0.649-1.119-0.159-0.177-0.303+0.308</f>
        <v>0.21699999999999936</v>
      </c>
    </row>
    <row r="2117" spans="1:5" x14ac:dyDescent="0.3">
      <c r="A2117" s="8">
        <v>133</v>
      </c>
      <c r="B2117" s="8">
        <v>36</v>
      </c>
      <c r="C2117" s="8">
        <v>35</v>
      </c>
      <c r="D2117" s="8" t="s">
        <v>1</v>
      </c>
      <c r="E2117" s="9">
        <v>5</v>
      </c>
    </row>
    <row r="2118" spans="1:5" x14ac:dyDescent="0.3">
      <c r="A2118" s="8">
        <v>133</v>
      </c>
      <c r="B2118" s="8">
        <v>36</v>
      </c>
      <c r="C2118" s="8">
        <v>45</v>
      </c>
      <c r="D2118" s="8" t="s">
        <v>1</v>
      </c>
      <c r="E2118" s="9">
        <v>5</v>
      </c>
    </row>
    <row r="2119" spans="1:5" x14ac:dyDescent="0.3">
      <c r="A2119" s="10">
        <v>133</v>
      </c>
      <c r="B2119" s="10">
        <v>36</v>
      </c>
      <c r="C2119" s="10" t="s">
        <v>28</v>
      </c>
      <c r="D2119" s="10" t="s">
        <v>1</v>
      </c>
      <c r="E2119" s="15">
        <f>5.814-1.295-1.939-1.286+7.41-0.654-2.583-0.048-0.091-0.35-1.272-0.264-0.362-0.618</f>
        <v>2.4620000000000002</v>
      </c>
    </row>
    <row r="2120" spans="1:5" x14ac:dyDescent="0.3">
      <c r="A2120" s="10">
        <v>133</v>
      </c>
      <c r="B2120" s="10">
        <v>36</v>
      </c>
      <c r="C2120" s="10" t="s">
        <v>30</v>
      </c>
      <c r="D2120" s="10" t="s">
        <v>1</v>
      </c>
      <c r="E2120" s="15">
        <f>2.49+2.525+0.615-0.092-0.652-0.652</f>
        <v>4.2340000000000009</v>
      </c>
    </row>
    <row r="2121" spans="1:5" x14ac:dyDescent="0.3">
      <c r="A2121" s="8">
        <v>133</v>
      </c>
      <c r="B2121" s="8">
        <v>36</v>
      </c>
      <c r="C2121" s="8" t="s">
        <v>106</v>
      </c>
      <c r="D2121" s="8" t="s">
        <v>1</v>
      </c>
      <c r="E2121" s="9">
        <f>5.265-0.177-1.133-0.885+0.02</f>
        <v>3.0900000000000003</v>
      </c>
    </row>
    <row r="2122" spans="1:5" x14ac:dyDescent="0.3">
      <c r="A2122" s="8">
        <v>133</v>
      </c>
      <c r="B2122" s="8">
        <v>40</v>
      </c>
      <c r="C2122" s="8" t="s">
        <v>30</v>
      </c>
      <c r="D2122" s="8" t="s">
        <v>1</v>
      </c>
      <c r="E2122" s="9">
        <v>5</v>
      </c>
    </row>
    <row r="2123" spans="1:5" x14ac:dyDescent="0.3">
      <c r="A2123" s="10">
        <v>137</v>
      </c>
      <c r="B2123" s="10">
        <v>4</v>
      </c>
      <c r="C2123" s="10">
        <v>20</v>
      </c>
      <c r="D2123" s="10" t="s">
        <v>1</v>
      </c>
      <c r="E2123" s="15">
        <v>4.4999999999999998E-2</v>
      </c>
    </row>
    <row r="2124" spans="1:5" x14ac:dyDescent="0.3">
      <c r="A2124" s="10">
        <v>139.69999999999999</v>
      </c>
      <c r="B2124" s="10">
        <v>9.17</v>
      </c>
      <c r="C2124" s="10" t="s">
        <v>167</v>
      </c>
      <c r="D2124" s="10" t="s">
        <v>168</v>
      </c>
      <c r="E2124" s="15">
        <v>5.91</v>
      </c>
    </row>
    <row r="2125" spans="1:5" x14ac:dyDescent="0.3">
      <c r="A2125" s="10">
        <v>139.69999999999999</v>
      </c>
      <c r="B2125" s="10">
        <v>12.5</v>
      </c>
      <c r="C2125" s="10" t="s">
        <v>21</v>
      </c>
      <c r="D2125" s="10" t="s">
        <v>64</v>
      </c>
      <c r="E2125" s="15">
        <f>4.235+2.878-0.72-0.24-0.042</f>
        <v>6.1110000000000007</v>
      </c>
    </row>
    <row r="2126" spans="1:5" x14ac:dyDescent="0.3">
      <c r="A2126" s="10">
        <v>140</v>
      </c>
      <c r="B2126" s="10">
        <v>5</v>
      </c>
      <c r="C2126" s="10" t="s">
        <v>26</v>
      </c>
      <c r="D2126" s="10" t="s">
        <v>1</v>
      </c>
      <c r="E2126" s="15">
        <f>5.13-0.069-0.157-0.018-0.052-0.035-0.01-0.011-0.16-0.026-0.018-0.103-0.103-0.018-0.004-0.035-0.106-0.053-0.018-0.044-0.007-0.155-0.062-0.044-0.01-0.024-0.017-0.035</f>
        <v>3.7360000000000033</v>
      </c>
    </row>
    <row r="2127" spans="1:5" x14ac:dyDescent="0.3">
      <c r="A2127" s="10">
        <v>140</v>
      </c>
      <c r="B2127" s="10">
        <v>6</v>
      </c>
      <c r="C2127" s="10">
        <v>20</v>
      </c>
      <c r="D2127" s="10" t="s">
        <v>1</v>
      </c>
      <c r="E2127" s="15">
        <f>0.2+0.945-0.229-0.031+0.094-0.034-0.048-0.042-0.06-0.149-0.136-0.035-0.042-0.207-0.04-0.018-0.035-0.07-0.04+0.013+0.58-0.009+0.54-0.038-0.101-0.032-0.108+0.205-0.066-0.012-0.218-0.032-0.021-0.137-0.066-0.309-0.008-0.023-0.023-0.022-0.037-0.1+0.026-0.017</f>
        <v>7.9999999999996914E-3</v>
      </c>
    </row>
    <row r="2128" spans="1:5" x14ac:dyDescent="0.3">
      <c r="A2128" s="8">
        <v>140</v>
      </c>
      <c r="B2128" s="8">
        <v>6</v>
      </c>
      <c r="C2128" s="8">
        <v>20</v>
      </c>
      <c r="D2128" s="8" t="s">
        <v>1</v>
      </c>
      <c r="E2128" s="9">
        <v>5</v>
      </c>
    </row>
    <row r="2129" spans="1:5" x14ac:dyDescent="0.3">
      <c r="A2129" s="10">
        <v>140</v>
      </c>
      <c r="B2129" s="10">
        <v>6</v>
      </c>
      <c r="C2129" s="10" t="s">
        <v>28</v>
      </c>
      <c r="D2129" s="10" t="s">
        <v>1</v>
      </c>
      <c r="E2129" s="15">
        <f>4.97-0.078-1.2-0.064</f>
        <v>3.6279999999999992</v>
      </c>
    </row>
    <row r="2130" spans="1:5" x14ac:dyDescent="0.3">
      <c r="A2130" s="10">
        <v>140</v>
      </c>
      <c r="B2130" s="10">
        <v>8</v>
      </c>
      <c r="C2130" s="10">
        <v>20</v>
      </c>
      <c r="D2130" s="10" t="s">
        <v>1</v>
      </c>
      <c r="E2130" s="15">
        <f>3.177-0.487-0.02-0.243-0.498+2.011-0.488-0.055-0.028-0.25-0.029-0.109-0.069-0.015-0.5-2.011-0.031-0.028-0.242-0.105+0.508</f>
        <v>0.4880000000000001</v>
      </c>
    </row>
    <row r="2131" spans="1:5" x14ac:dyDescent="0.3">
      <c r="A2131" s="8">
        <v>140</v>
      </c>
      <c r="B2131" s="8">
        <v>8</v>
      </c>
      <c r="C2131" s="8">
        <v>20</v>
      </c>
      <c r="D2131" s="8" t="s">
        <v>1</v>
      </c>
      <c r="E2131" s="9">
        <v>5</v>
      </c>
    </row>
    <row r="2132" spans="1:5" x14ac:dyDescent="0.3">
      <c r="A2132" s="10">
        <v>140</v>
      </c>
      <c r="B2132" s="10">
        <v>8</v>
      </c>
      <c r="C2132" s="10" t="s">
        <v>26</v>
      </c>
      <c r="D2132" s="10" t="s">
        <v>1</v>
      </c>
      <c r="E2132" s="15">
        <f>0.018-0.009</f>
        <v>8.9999999999999993E-3</v>
      </c>
    </row>
    <row r="2133" spans="1:5" x14ac:dyDescent="0.3">
      <c r="A2133" s="10">
        <v>140</v>
      </c>
      <c r="B2133" s="10">
        <v>8</v>
      </c>
      <c r="C2133" s="10" t="s">
        <v>26</v>
      </c>
      <c r="D2133" s="10" t="s">
        <v>64</v>
      </c>
      <c r="E2133" s="15">
        <f>11.325-1.18-0.495-0.505-0.055-1.191-1.662-1.655-0.116-0.015-0.043-0.22-0.081-0.011-0.237-0.05-0.233-0.076-0.733-0.231-2.548+0.029</f>
        <v>1.6999999999999991E-2</v>
      </c>
    </row>
    <row r="2134" spans="1:5" x14ac:dyDescent="0.3">
      <c r="A2134" s="10">
        <v>140</v>
      </c>
      <c r="B2134" s="10">
        <v>8</v>
      </c>
      <c r="C2134" s="10" t="s">
        <v>26</v>
      </c>
      <c r="D2134" s="10" t="s">
        <v>64</v>
      </c>
      <c r="E2134" s="15">
        <f>7.16-0.122-0.083-0.047-0.312-0.008-0.085-0.033-0.082-0.083-0.085-0.309-0.096-0.007-0.055-0.079-0.673-0.615-0.015-0.03-0.029-0.308-0.013-0.029-0.045-0.031-0.308-0.045-0.044-0.029-0.023-0.042-0.01-0.041-0.015-0.029-0.109-0.069-0.004-0.059-0.01-0.162-0.2-0.307-0.917-0.006</f>
        <v>1.4570000000000012</v>
      </c>
    </row>
    <row r="2135" spans="1:5" x14ac:dyDescent="0.3">
      <c r="A2135" s="8">
        <v>140</v>
      </c>
      <c r="B2135" s="8">
        <v>8</v>
      </c>
      <c r="C2135" s="8" t="s">
        <v>30</v>
      </c>
      <c r="D2135" s="8" t="s">
        <v>1</v>
      </c>
      <c r="E2135" s="9">
        <v>5</v>
      </c>
    </row>
    <row r="2136" spans="1:5" x14ac:dyDescent="0.3">
      <c r="A2136" s="8">
        <v>140</v>
      </c>
      <c r="B2136" s="8">
        <v>10</v>
      </c>
      <c r="C2136" s="8">
        <v>20</v>
      </c>
      <c r="D2136" s="8" t="s">
        <v>1</v>
      </c>
      <c r="E2136" s="9">
        <v>5</v>
      </c>
    </row>
    <row r="2137" spans="1:5" x14ac:dyDescent="0.3">
      <c r="A2137" s="10">
        <v>140</v>
      </c>
      <c r="B2137" s="10">
        <v>10</v>
      </c>
      <c r="C2137" s="10" t="s">
        <v>26</v>
      </c>
      <c r="D2137" s="10" t="s">
        <v>64</v>
      </c>
      <c r="E2137" s="15">
        <f>2.42+4.43+9.89-0.376-4.31-0.384-4.203-1.115-1.1-0.098-0.047-0.222-0.094-0.067-0.1-0.012-1.12-0.054-0.032-0.099-0.1-0.041-0.05+0.022-0.016-0.05-0.067-0.203-0.034-0.132-0.034-2.48-0.066-0.029-0.023+0.097-0.023-0.034+2.92-0.53-0.154-0.067+5.133-0.067-0.199-0.038-0.103-0.041-0.1-0.067-0.582-0.031-0.286-0.014-0.018-0.208-0.2-0.045-0.028-0.263-0.1-0.119-0.055-0.043-0.277-0.035-0.501-3.431-0.1-0.084-0.253-0.023-0.063+0.045+0.013-0.025</f>
        <v>5.000000000002322E-3</v>
      </c>
    </row>
    <row r="2138" spans="1:5" x14ac:dyDescent="0.3">
      <c r="A2138" s="10">
        <v>140</v>
      </c>
      <c r="B2138" s="10">
        <v>10</v>
      </c>
      <c r="C2138" s="10" t="s">
        <v>26</v>
      </c>
      <c r="D2138" s="10" t="s">
        <v>64</v>
      </c>
      <c r="E2138" s="15">
        <f>7.92-0.1-0.1-0.034-0.166-0.018-0.051-0.382-0.215-0.035-0.034-0.041-0.045-0.133-0.169-0.389-0.199-0.392-0.1-1.163-0.156-0.006-0.068-0.134-0.101-0.041-0.201-0.1-0.068-0.394-0.029-0.014-0.093-0.101-0.016-0.113-0.035-0.396-0.011-0.102-0.117-0.057-0.747-0.041-0.021-0.136-0.012-0.1-0.026</f>
        <v>0.71800000000000075</v>
      </c>
    </row>
    <row r="2139" spans="1:5" x14ac:dyDescent="0.3">
      <c r="A2139" s="10">
        <v>140</v>
      </c>
      <c r="B2139" s="10">
        <v>10</v>
      </c>
      <c r="C2139" s="10" t="s">
        <v>36</v>
      </c>
      <c r="D2139" s="10" t="s">
        <v>1</v>
      </c>
      <c r="E2139" s="15">
        <f>3.298+0.3-0.067-0.067-0.067-0.04-0.034-0.051-0.332-0.291-0.195-0.029-0.294</f>
        <v>2.1309999999999998</v>
      </c>
    </row>
    <row r="2140" spans="1:5" x14ac:dyDescent="0.3">
      <c r="A2140" s="10">
        <v>140</v>
      </c>
      <c r="B2140" s="10">
        <v>10</v>
      </c>
      <c r="C2140" s="10" t="s">
        <v>28</v>
      </c>
      <c r="D2140" s="10" t="s">
        <v>1</v>
      </c>
      <c r="E2140" s="15">
        <f>0.015+4.2-0.356-1.343-0.018-1.08-0.201-0.068-0.362-0.732+0.047-0.076+2.925-0.644</f>
        <v>2.3069999999999999</v>
      </c>
    </row>
    <row r="2141" spans="1:5" x14ac:dyDescent="0.3">
      <c r="A2141" s="8">
        <v>140</v>
      </c>
      <c r="B2141" s="8">
        <v>10</v>
      </c>
      <c r="C2141" s="8" t="s">
        <v>28</v>
      </c>
      <c r="D2141" s="8" t="s">
        <v>1</v>
      </c>
      <c r="E2141" s="9">
        <f>5-2.925</f>
        <v>2.0750000000000002</v>
      </c>
    </row>
    <row r="2142" spans="1:5" x14ac:dyDescent="0.3">
      <c r="A2142" s="10">
        <v>140</v>
      </c>
      <c r="B2142" s="10">
        <v>10</v>
      </c>
      <c r="C2142" s="10" t="s">
        <v>30</v>
      </c>
      <c r="D2142" s="10" t="s">
        <v>1</v>
      </c>
      <c r="E2142" s="15">
        <f>2.075+5.401-0.035-0.101+2.705</f>
        <v>10.045</v>
      </c>
    </row>
    <row r="2143" spans="1:5" x14ac:dyDescent="0.3">
      <c r="A2143" s="8">
        <v>140</v>
      </c>
      <c r="B2143" s="8">
        <v>12</v>
      </c>
      <c r="C2143" s="8">
        <v>20</v>
      </c>
      <c r="D2143" s="8" t="s">
        <v>1</v>
      </c>
      <c r="E2143" s="9">
        <v>5</v>
      </c>
    </row>
    <row r="2144" spans="1:5" x14ac:dyDescent="0.3">
      <c r="A2144" s="10">
        <v>140</v>
      </c>
      <c r="B2144" s="10">
        <v>12</v>
      </c>
      <c r="C2144" s="10" t="s">
        <v>26</v>
      </c>
      <c r="D2144" s="10" t="s">
        <v>1</v>
      </c>
      <c r="E2144" s="15">
        <f>21.19+18.07-1.431-0.467-0.052-0.47-0.041-0.041-0.174-0.026-0.117-0.022-0.029-0.059-0.024-0.04-0.319-0.015-0.47-0.06-0.118-0.021-0.06-0.016-0.041-0.017-0.099-0.16-0.013-0.048-0.46-0.24-0.472-0.041-0.06-0.017-0.264-0.041-0.04-0.058-0.118-0.476-0.235-0.122-0.007-0.091-0.01-0.472-0.118-0.225-0.232-0.006-0.007-0.953-0.022-0.058-0.01</f>
        <v>29.955000000000013</v>
      </c>
    </row>
    <row r="2145" spans="1:5" x14ac:dyDescent="0.3">
      <c r="A2145" s="8">
        <v>140</v>
      </c>
      <c r="B2145" s="8">
        <v>12</v>
      </c>
      <c r="C2145" s="8">
        <v>45</v>
      </c>
      <c r="D2145" s="8" t="s">
        <v>1</v>
      </c>
      <c r="E2145" s="9">
        <v>5</v>
      </c>
    </row>
    <row r="2146" spans="1:5" x14ac:dyDescent="0.3">
      <c r="A2146" s="8">
        <v>140</v>
      </c>
      <c r="B2146" s="8">
        <v>12</v>
      </c>
      <c r="C2146" s="8" t="s">
        <v>30</v>
      </c>
      <c r="D2146" s="8" t="s">
        <v>1</v>
      </c>
      <c r="E2146" s="9">
        <v>5</v>
      </c>
    </row>
    <row r="2147" spans="1:5" x14ac:dyDescent="0.3">
      <c r="A2147" s="8">
        <v>140</v>
      </c>
      <c r="B2147" s="8">
        <v>13</v>
      </c>
      <c r="C2147" s="8" t="s">
        <v>40</v>
      </c>
      <c r="D2147" s="8" t="s">
        <v>17</v>
      </c>
      <c r="E2147" s="9">
        <f>0.485-0.063+0.005-0.011</f>
        <v>0.41599999999999998</v>
      </c>
    </row>
    <row r="2148" spans="1:5" x14ac:dyDescent="0.3">
      <c r="A2148" s="8">
        <v>140</v>
      </c>
      <c r="B2148" s="8">
        <v>14</v>
      </c>
      <c r="C2148" s="8">
        <v>20</v>
      </c>
      <c r="D2148" s="8" t="s">
        <v>1</v>
      </c>
      <c r="E2148" s="9">
        <v>5</v>
      </c>
    </row>
    <row r="2149" spans="1:5" x14ac:dyDescent="0.3">
      <c r="A2149" s="10">
        <v>140</v>
      </c>
      <c r="B2149" s="10">
        <v>14</v>
      </c>
      <c r="C2149" s="10" t="s">
        <v>26</v>
      </c>
      <c r="D2149" s="10" t="s">
        <v>1</v>
      </c>
      <c r="E2149" s="15">
        <f>2.947-0.239-0.02-0.134-0.091+5.285+2.815-0.134-0.033-0.011-0.531-0.164-0.134-0.025-0.042-0.143-0.033-0.134-0.055-0.089</f>
        <v>9.0350000000000001</v>
      </c>
    </row>
    <row r="2150" spans="1:5" x14ac:dyDescent="0.3">
      <c r="A2150" s="10">
        <v>140</v>
      </c>
      <c r="B2150" s="10">
        <v>14</v>
      </c>
      <c r="C2150" s="10" t="s">
        <v>28</v>
      </c>
      <c r="D2150" s="10" t="s">
        <v>1</v>
      </c>
      <c r="E2150" s="15">
        <f>2.76-1.592+2.245-0.763-0.09+2.63-0.795</f>
        <v>4.3949999999999996</v>
      </c>
    </row>
    <row r="2151" spans="1:5" x14ac:dyDescent="0.3">
      <c r="A2151" s="10">
        <v>140</v>
      </c>
      <c r="B2151" s="10">
        <v>14</v>
      </c>
      <c r="C2151" s="10" t="s">
        <v>30</v>
      </c>
      <c r="D2151" s="10" t="s">
        <v>1</v>
      </c>
      <c r="E2151" s="15">
        <f>2.595+2.305-0.784</f>
        <v>4.1160000000000005</v>
      </c>
    </row>
    <row r="2152" spans="1:5" x14ac:dyDescent="0.3">
      <c r="A2152" s="8">
        <v>140</v>
      </c>
      <c r="B2152" s="8">
        <v>14</v>
      </c>
      <c r="C2152" s="8" t="s">
        <v>40</v>
      </c>
      <c r="D2152" s="8" t="s">
        <v>17</v>
      </c>
      <c r="E2152" s="9">
        <f>0.163+0.26-0.261+0.004</f>
        <v>0.16600000000000004</v>
      </c>
    </row>
    <row r="2153" spans="1:5" x14ac:dyDescent="0.3">
      <c r="A2153" s="10">
        <v>140</v>
      </c>
      <c r="B2153" s="10">
        <v>16</v>
      </c>
      <c r="C2153" s="10">
        <v>20</v>
      </c>
      <c r="D2153" s="10" t="s">
        <v>1</v>
      </c>
      <c r="E2153" s="15">
        <f>5.125-0.281-0.284-0.204-0.389-0.62-0.1-0.19-0.302-0.391-0.071-0.319-0.1-0.02-0.048+0.065-0.174-0.149-0.011-0.052-0.115-0.06-0.052-0.076-0.39-0.052-0.076-0.101-0.066-0.315-0.101-0.017-0.049-0.022+0.013</f>
        <v>5.9999999999999307E-3</v>
      </c>
    </row>
    <row r="2154" spans="1:5" x14ac:dyDescent="0.3">
      <c r="A2154" s="10">
        <v>140</v>
      </c>
      <c r="B2154" s="10">
        <v>16</v>
      </c>
      <c r="C2154" s="10">
        <v>20</v>
      </c>
      <c r="D2154" s="10" t="s">
        <v>1</v>
      </c>
      <c r="E2154" s="15">
        <f>5.15-0.11-0.19-0.185-0.126-0.175-0.062-0.1-0.053-0.104</f>
        <v>4.0449999999999999</v>
      </c>
    </row>
    <row r="2155" spans="1:5" x14ac:dyDescent="0.3">
      <c r="A2155" s="8">
        <v>140</v>
      </c>
      <c r="B2155" s="8">
        <v>16</v>
      </c>
      <c r="C2155" s="8">
        <v>20</v>
      </c>
      <c r="D2155" s="8" t="s">
        <v>1</v>
      </c>
      <c r="E2155" s="9">
        <v>5</v>
      </c>
    </row>
    <row r="2156" spans="1:5" x14ac:dyDescent="0.3">
      <c r="A2156" s="8">
        <v>140</v>
      </c>
      <c r="B2156" s="8">
        <v>16</v>
      </c>
      <c r="C2156" s="8" t="s">
        <v>26</v>
      </c>
      <c r="D2156" s="8" t="s">
        <v>64</v>
      </c>
      <c r="E2156" s="9">
        <f>4.99-0.022-4.58-0.013-0.224-0.015</f>
        <v>0.1359999999999999</v>
      </c>
    </row>
    <row r="2157" spans="1:5" x14ac:dyDescent="0.3">
      <c r="A2157" s="8">
        <v>140</v>
      </c>
      <c r="B2157" s="8">
        <v>16</v>
      </c>
      <c r="C2157" s="8" t="s">
        <v>26</v>
      </c>
      <c r="D2157" s="8" t="s">
        <v>64</v>
      </c>
      <c r="E2157" s="9">
        <v>4.58</v>
      </c>
    </row>
    <row r="2158" spans="1:5" x14ac:dyDescent="0.3">
      <c r="A2158" s="8">
        <v>140</v>
      </c>
      <c r="B2158" s="8">
        <v>16</v>
      </c>
      <c r="C2158" s="8">
        <v>35</v>
      </c>
      <c r="D2158" s="8" t="s">
        <v>1</v>
      </c>
      <c r="E2158" s="9">
        <v>5</v>
      </c>
    </row>
    <row r="2159" spans="1:5" x14ac:dyDescent="0.3">
      <c r="A2159" s="8">
        <v>140</v>
      </c>
      <c r="B2159" s="8">
        <v>16</v>
      </c>
      <c r="C2159" s="8">
        <v>45</v>
      </c>
      <c r="D2159" s="8" t="s">
        <v>1</v>
      </c>
      <c r="E2159" s="9">
        <v>5</v>
      </c>
    </row>
    <row r="2160" spans="1:5" x14ac:dyDescent="0.3">
      <c r="A2160" s="10">
        <v>140</v>
      </c>
      <c r="B2160" s="10">
        <v>16</v>
      </c>
      <c r="C2160" s="10" t="s">
        <v>28</v>
      </c>
      <c r="D2160" s="10" t="s">
        <v>1</v>
      </c>
      <c r="E2160" s="15">
        <f>2.53+2.54-0.342-0.88-1.318-0.085+3.006-0.46+10.245-0.076+0.335-0.157</f>
        <v>15.338000000000001</v>
      </c>
    </row>
    <row r="2161" spans="1:5" x14ac:dyDescent="0.3">
      <c r="A2161" s="10">
        <v>140</v>
      </c>
      <c r="B2161" s="10">
        <v>16</v>
      </c>
      <c r="C2161" s="10" t="s">
        <v>30</v>
      </c>
      <c r="D2161" s="10" t="s">
        <v>1</v>
      </c>
      <c r="E2161" s="15">
        <f>0.38+1.87+2.62-0.148-0.216</f>
        <v>4.5060000000000002</v>
      </c>
    </row>
    <row r="2162" spans="1:5" x14ac:dyDescent="0.3">
      <c r="A2162" s="10">
        <v>140</v>
      </c>
      <c r="B2162" s="10">
        <v>16</v>
      </c>
      <c r="C2162" s="10" t="s">
        <v>30</v>
      </c>
      <c r="D2162" s="10" t="s">
        <v>1</v>
      </c>
      <c r="E2162" s="15">
        <f>5-0.38-2.62</f>
        <v>2</v>
      </c>
    </row>
    <row r="2163" spans="1:5" x14ac:dyDescent="0.3">
      <c r="A2163" s="8">
        <v>140</v>
      </c>
      <c r="B2163" s="8">
        <v>18</v>
      </c>
      <c r="C2163" s="8">
        <v>20</v>
      </c>
      <c r="D2163" s="8" t="s">
        <v>1</v>
      </c>
      <c r="E2163" s="9">
        <f>5.47-0.168-0.069-0.057</f>
        <v>5.1759999999999993</v>
      </c>
    </row>
    <row r="2164" spans="1:5" x14ac:dyDescent="0.3">
      <c r="A2164" s="10">
        <v>140</v>
      </c>
      <c r="B2164" s="10">
        <v>18</v>
      </c>
      <c r="C2164" s="10" t="s">
        <v>26</v>
      </c>
      <c r="D2164" s="10" t="s">
        <v>1</v>
      </c>
      <c r="E2164" s="15">
        <f>3.946-0.013-0.013-0.015-0.063-0.056-0.321-0.019-0.015-0.013-0.166-0.036-0.233-0.112</f>
        <v>2.8709999999999996</v>
      </c>
    </row>
    <row r="2165" spans="1:5" x14ac:dyDescent="0.3">
      <c r="A2165" s="10">
        <v>140</v>
      </c>
      <c r="B2165" s="10">
        <v>20</v>
      </c>
      <c r="C2165" s="10">
        <v>20</v>
      </c>
      <c r="D2165" s="10" t="s">
        <v>1</v>
      </c>
      <c r="E2165" s="15">
        <f>9.75-0.02-0.182-0.217-0.047-0.494-0.021-0.063-0.493-0.062-0.093-0.331-0.029-0.124-0.498-0.048-0.99-0.063-0.249-0.231-0.152-1.957-2.448-0.496-0.107-0.093-0.03-0.201+0.018-0.014</f>
        <v>1.4999999999998398E-2</v>
      </c>
    </row>
    <row r="2166" spans="1:5" x14ac:dyDescent="0.3">
      <c r="A2166" s="8">
        <v>140</v>
      </c>
      <c r="B2166" s="8">
        <v>20</v>
      </c>
      <c r="C2166" s="8">
        <v>20</v>
      </c>
      <c r="D2166" s="8" t="s">
        <v>1</v>
      </c>
      <c r="E2166" s="9">
        <f>14.955-0.122-0.195-0.09-0.497-0.243-0.032-0.123-2.974-0.058-0.98-0.063-0.064-0.023-0.302-0.02</f>
        <v>9.1690000000000005</v>
      </c>
    </row>
    <row r="2167" spans="1:5" x14ac:dyDescent="0.3">
      <c r="A2167" s="10">
        <v>140</v>
      </c>
      <c r="B2167" s="10">
        <v>20</v>
      </c>
      <c r="C2167" s="10" t="s">
        <v>26</v>
      </c>
      <c r="D2167" s="10" t="s">
        <v>64</v>
      </c>
      <c r="E2167" s="15">
        <f>11.125-0.028-0.038-0.033-0.48-0.327-0.111-0.076-0.183-0.144-0.915-0.315-0.126</f>
        <v>8.3490000000000002</v>
      </c>
    </row>
    <row r="2168" spans="1:5" x14ac:dyDescent="0.3">
      <c r="A2168" s="8">
        <v>140</v>
      </c>
      <c r="B2168" s="8">
        <v>20</v>
      </c>
      <c r="C2168" s="8">
        <v>35</v>
      </c>
      <c r="D2168" s="8" t="s">
        <v>1</v>
      </c>
      <c r="E2168" s="9">
        <v>5</v>
      </c>
    </row>
    <row r="2169" spans="1:5" x14ac:dyDescent="0.3">
      <c r="A2169" s="8">
        <v>140</v>
      </c>
      <c r="B2169" s="8">
        <v>20</v>
      </c>
      <c r="C2169" s="8">
        <v>45</v>
      </c>
      <c r="D2169" s="8" t="s">
        <v>1</v>
      </c>
      <c r="E2169" s="9">
        <v>5</v>
      </c>
    </row>
    <row r="2170" spans="1:5" x14ac:dyDescent="0.3">
      <c r="A2170" s="10">
        <v>140</v>
      </c>
      <c r="B2170" s="10">
        <v>20</v>
      </c>
      <c r="C2170" s="10" t="s">
        <v>36</v>
      </c>
      <c r="D2170" s="10" t="s">
        <v>1</v>
      </c>
      <c r="E2170" s="15">
        <f>5+7.49-0.076-3.083-0.433-0.522-0.241-6.678-0.515</f>
        <v>0.94199999999999984</v>
      </c>
    </row>
    <row r="2171" spans="1:5" x14ac:dyDescent="0.3">
      <c r="A2171" s="10">
        <v>140</v>
      </c>
      <c r="B2171" s="10">
        <v>20</v>
      </c>
      <c r="C2171" s="10" t="s">
        <v>36</v>
      </c>
      <c r="D2171" s="10" t="s">
        <v>1</v>
      </c>
      <c r="E2171" s="15">
        <f>6.678-1.041-0.509</f>
        <v>5.1280000000000001</v>
      </c>
    </row>
    <row r="2172" spans="1:5" x14ac:dyDescent="0.3">
      <c r="A2172" s="10">
        <v>140</v>
      </c>
      <c r="B2172" s="10">
        <v>20</v>
      </c>
      <c r="C2172" s="10" t="s">
        <v>131</v>
      </c>
      <c r="D2172" s="10" t="s">
        <v>1</v>
      </c>
      <c r="E2172" s="15">
        <f>5.11-0.412-1.416+0.137</f>
        <v>3.4190000000000005</v>
      </c>
    </row>
    <row r="2173" spans="1:5" x14ac:dyDescent="0.3">
      <c r="A2173" s="10">
        <v>140</v>
      </c>
      <c r="B2173" s="10">
        <v>20</v>
      </c>
      <c r="C2173" s="10" t="s">
        <v>28</v>
      </c>
      <c r="D2173" s="10" t="s">
        <v>1</v>
      </c>
      <c r="E2173" s="15">
        <f>5.26-0.182-1.075-0.538-0.335-0.182-2.684+0.077-0.134</f>
        <v>0.20699999999999891</v>
      </c>
    </row>
    <row r="2174" spans="1:5" x14ac:dyDescent="0.3">
      <c r="A2174" s="10">
        <v>140</v>
      </c>
      <c r="B2174" s="10">
        <v>20</v>
      </c>
      <c r="C2174" s="10" t="s">
        <v>28</v>
      </c>
      <c r="D2174" s="10" t="s">
        <v>1</v>
      </c>
      <c r="E2174" s="15">
        <f>4.98-0.183-0.032-0.363-0.021-0.156-0.121-0.519-0.111+2.684</f>
        <v>6.1580000000000013</v>
      </c>
    </row>
    <row r="2175" spans="1:5" x14ac:dyDescent="0.3">
      <c r="A2175" s="10">
        <v>140</v>
      </c>
      <c r="B2175" s="10">
        <v>20</v>
      </c>
      <c r="C2175" s="10" t="s">
        <v>30</v>
      </c>
      <c r="D2175" s="10" t="s">
        <v>1</v>
      </c>
      <c r="E2175" s="15">
        <f>2.585+2.59+0.515-0.063-0.122-0.069-0.087-0.081-0.153-0.255-0.093-0.527-0.061+0.061-0.063</f>
        <v>4.1770000000000005</v>
      </c>
    </row>
    <row r="2176" spans="1:5" x14ac:dyDescent="0.3">
      <c r="A2176" s="10">
        <v>140</v>
      </c>
      <c r="B2176" s="10">
        <v>20</v>
      </c>
      <c r="C2176" s="10" t="s">
        <v>68</v>
      </c>
      <c r="D2176" s="10" t="s">
        <v>1</v>
      </c>
      <c r="E2176" s="15">
        <f>1.652-0.093-0.446+0.003</f>
        <v>1.1159999999999999</v>
      </c>
    </row>
    <row r="2177" spans="1:5" x14ac:dyDescent="0.3">
      <c r="A2177" s="10">
        <v>140</v>
      </c>
      <c r="B2177" s="10">
        <v>20</v>
      </c>
      <c r="C2177" s="10" t="s">
        <v>106</v>
      </c>
      <c r="D2177" s="10" t="s">
        <v>1</v>
      </c>
      <c r="E2177" s="15">
        <f>1.955+0.96+2.43</f>
        <v>5.3450000000000006</v>
      </c>
    </row>
    <row r="2178" spans="1:5" x14ac:dyDescent="0.3">
      <c r="A2178" s="8">
        <v>140</v>
      </c>
      <c r="B2178" s="8">
        <v>22</v>
      </c>
      <c r="C2178" s="8">
        <v>20</v>
      </c>
      <c r="D2178" s="8" t="s">
        <v>1</v>
      </c>
      <c r="E2178" s="9">
        <f>3.13-0.069-0.122+4.555+0.53</f>
        <v>8.0239999999999991</v>
      </c>
    </row>
    <row r="2179" spans="1:5" x14ac:dyDescent="0.3">
      <c r="A2179" s="10">
        <v>140</v>
      </c>
      <c r="B2179" s="10">
        <v>22</v>
      </c>
      <c r="C2179" s="10" t="s">
        <v>26</v>
      </c>
      <c r="D2179" s="10" t="s">
        <v>1</v>
      </c>
      <c r="E2179" s="15">
        <f>4.76-0.493-0.072-0.088-0.198-0.036-0.097-0.5-0.069-0.07-0.497-2.521-0.105+0.231-0.242</f>
        <v>2.9999999999997806E-3</v>
      </c>
    </row>
    <row r="2180" spans="1:5" x14ac:dyDescent="0.3">
      <c r="A2180" s="8">
        <v>140</v>
      </c>
      <c r="B2180" s="8">
        <v>22</v>
      </c>
      <c r="C2180" s="8" t="s">
        <v>26</v>
      </c>
      <c r="D2180" s="8" t="s">
        <v>64</v>
      </c>
      <c r="E2180" s="9">
        <f>3.4+1.53+0.835-1.028-0.367-0.499-0.383-0.198-0.856-0.929-0.844-0.071</f>
        <v>0.59000000000000019</v>
      </c>
    </row>
    <row r="2181" spans="1:5" x14ac:dyDescent="0.3">
      <c r="A2181" s="8">
        <v>140</v>
      </c>
      <c r="B2181" s="8">
        <v>22</v>
      </c>
      <c r="C2181" s="8" t="s">
        <v>26</v>
      </c>
      <c r="D2181" s="8" t="s">
        <v>64</v>
      </c>
      <c r="E2181" s="9">
        <v>5</v>
      </c>
    </row>
    <row r="2182" spans="1:5" x14ac:dyDescent="0.3">
      <c r="A2182" s="8">
        <v>140</v>
      </c>
      <c r="B2182" s="8">
        <v>22</v>
      </c>
      <c r="C2182" s="8">
        <v>45</v>
      </c>
      <c r="D2182" s="8" t="s">
        <v>1</v>
      </c>
      <c r="E2182" s="9">
        <v>5</v>
      </c>
    </row>
    <row r="2183" spans="1:5" x14ac:dyDescent="0.3">
      <c r="A2183" s="10">
        <v>140</v>
      </c>
      <c r="B2183" s="10">
        <v>22</v>
      </c>
      <c r="C2183" s="10" t="s">
        <v>28</v>
      </c>
      <c r="D2183" s="10" t="s">
        <v>1</v>
      </c>
      <c r="E2183" s="15">
        <f>2.59+2.455-0.03</f>
        <v>5.0149999999999997</v>
      </c>
    </row>
    <row r="2184" spans="1:5" x14ac:dyDescent="0.3">
      <c r="A2184" s="10">
        <v>140</v>
      </c>
      <c r="B2184" s="10">
        <v>22</v>
      </c>
      <c r="C2184" s="10" t="s">
        <v>30</v>
      </c>
      <c r="D2184" s="10" t="s">
        <v>1</v>
      </c>
      <c r="E2184" s="15">
        <f>10.835-0.36-2.506-0.133-0.132-0.133-0.117-0.144-0.045</f>
        <v>7.2650000000000015</v>
      </c>
    </row>
    <row r="2185" spans="1:5" x14ac:dyDescent="0.3">
      <c r="A2185" s="10">
        <v>140</v>
      </c>
      <c r="B2185" s="10">
        <v>24</v>
      </c>
      <c r="C2185" s="10" t="s">
        <v>28</v>
      </c>
      <c r="D2185" s="10" t="s">
        <v>1</v>
      </c>
      <c r="E2185" s="15">
        <f>2.595+2.84</f>
        <v>5.4350000000000005</v>
      </c>
    </row>
    <row r="2186" spans="1:5" x14ac:dyDescent="0.3">
      <c r="A2186" s="8">
        <v>140</v>
      </c>
      <c r="B2186" s="8">
        <v>25</v>
      </c>
      <c r="C2186" s="8">
        <v>20</v>
      </c>
      <c r="D2186" s="8" t="s">
        <v>1</v>
      </c>
      <c r="E2186" s="9">
        <v>7.2750000000000004</v>
      </c>
    </row>
    <row r="2187" spans="1:5" x14ac:dyDescent="0.3">
      <c r="A2187" s="10">
        <v>140</v>
      </c>
      <c r="B2187" s="10">
        <v>25</v>
      </c>
      <c r="C2187" s="10">
        <v>20</v>
      </c>
      <c r="D2187" s="10" t="s">
        <v>1</v>
      </c>
      <c r="E2187" s="15">
        <f>4.89-0.043-0.025-0.615-0.011-0.129-0.297-0.111-0.025-0.143-0.011-0.058-0.222-0.076-0.026-0.442-0.257-0.222-0.145-0.052-0.025-0.025-0.295-0.019-0.055-0.618-0.323</f>
        <v>0.61999999999999855</v>
      </c>
    </row>
    <row r="2188" spans="1:5" x14ac:dyDescent="0.3">
      <c r="A2188" s="8">
        <v>140</v>
      </c>
      <c r="B2188" s="8">
        <v>25</v>
      </c>
      <c r="C2188" s="8">
        <v>20</v>
      </c>
      <c r="D2188" s="8" t="s">
        <v>1</v>
      </c>
      <c r="E2188" s="9">
        <v>5</v>
      </c>
    </row>
    <row r="2189" spans="1:5" x14ac:dyDescent="0.3">
      <c r="A2189" s="10">
        <v>140</v>
      </c>
      <c r="B2189" s="10">
        <v>25</v>
      </c>
      <c r="C2189" s="10" t="s">
        <v>26</v>
      </c>
      <c r="D2189" s="10" t="s">
        <v>64</v>
      </c>
      <c r="E2189" s="15">
        <f>9.275-0.146-0.463-0.011-0.221-0.196-0.025-0.026-0.218-0.013-0.076-1.216-0.298-0.641-0.145-5.83+0.284</f>
        <v>3.4000000000001751E-2</v>
      </c>
    </row>
    <row r="2190" spans="1:5" x14ac:dyDescent="0.3">
      <c r="A2190" s="10">
        <v>140</v>
      </c>
      <c r="B2190" s="10">
        <v>25</v>
      </c>
      <c r="C2190" s="10" t="s">
        <v>26</v>
      </c>
      <c r="D2190" s="10" t="s">
        <v>1</v>
      </c>
      <c r="E2190" s="15">
        <f>5.945-0.44-0.248-0.417-0.29-0.44-0.603-0.445-0.227-0.242-0.211-0.338-0.684</f>
        <v>1.3599999999999999</v>
      </c>
    </row>
    <row r="2191" spans="1:5" x14ac:dyDescent="0.3">
      <c r="A2191" s="10">
        <v>140</v>
      </c>
      <c r="B2191" s="10">
        <v>25</v>
      </c>
      <c r="C2191" s="10" t="s">
        <v>26</v>
      </c>
      <c r="D2191" s="10" t="s">
        <v>1</v>
      </c>
      <c r="E2191" s="15">
        <f>7-5.945</f>
        <v>1.0549999999999997</v>
      </c>
    </row>
    <row r="2192" spans="1:5" x14ac:dyDescent="0.3">
      <c r="A2192" s="8">
        <v>140</v>
      </c>
      <c r="B2192" s="8">
        <v>25</v>
      </c>
      <c r="C2192" s="8">
        <v>35</v>
      </c>
      <c r="D2192" s="8" t="s">
        <v>1</v>
      </c>
      <c r="E2192" s="9">
        <v>5</v>
      </c>
    </row>
    <row r="2193" spans="1:5" x14ac:dyDescent="0.3">
      <c r="A2193" s="8">
        <v>140</v>
      </c>
      <c r="B2193" s="8">
        <v>25</v>
      </c>
      <c r="C2193" s="8">
        <v>45</v>
      </c>
      <c r="D2193" s="8" t="s">
        <v>1</v>
      </c>
      <c r="E2193" s="9">
        <v>5</v>
      </c>
    </row>
    <row r="2194" spans="1:5" x14ac:dyDescent="0.3">
      <c r="A2194" s="10">
        <v>140</v>
      </c>
      <c r="B2194" s="10">
        <v>25</v>
      </c>
      <c r="C2194" s="10" t="s">
        <v>28</v>
      </c>
      <c r="D2194" s="10" t="s">
        <v>1</v>
      </c>
      <c r="E2194" s="15">
        <f>7.45+2.48-1.282-0.219-0.146-0.272</f>
        <v>8.0109999999999992</v>
      </c>
    </row>
    <row r="2195" spans="1:5" x14ac:dyDescent="0.3">
      <c r="A2195" s="10">
        <v>140</v>
      </c>
      <c r="B2195" s="10">
        <v>25</v>
      </c>
      <c r="C2195" s="10" t="s">
        <v>95</v>
      </c>
      <c r="D2195" s="10" t="s">
        <v>1</v>
      </c>
      <c r="E2195" s="15">
        <f>4.38-1.825-0.369-0.377</f>
        <v>1.8089999999999999</v>
      </c>
    </row>
    <row r="2196" spans="1:5" x14ac:dyDescent="0.3">
      <c r="A2196" s="10">
        <v>140</v>
      </c>
      <c r="B2196" s="10">
        <v>25</v>
      </c>
      <c r="C2196" s="10" t="s">
        <v>30</v>
      </c>
      <c r="D2196" s="10" t="s">
        <v>1</v>
      </c>
      <c r="E2196" s="15">
        <f>2.455+2.455-0.222-0.158-0.188-1.281</f>
        <v>3.0609999999999999</v>
      </c>
    </row>
    <row r="2197" spans="1:5" x14ac:dyDescent="0.3">
      <c r="A2197" s="10">
        <v>140</v>
      </c>
      <c r="B2197" s="10">
        <v>28</v>
      </c>
      <c r="C2197" s="10">
        <v>20</v>
      </c>
      <c r="D2197" s="10" t="s">
        <v>1</v>
      </c>
      <c r="E2197" s="15">
        <f>5.254-0.238-0.068-0.502-0.067-0.032-0.026-0.05</f>
        <v>4.2710000000000008</v>
      </c>
    </row>
    <row r="2198" spans="1:5" x14ac:dyDescent="0.3">
      <c r="A2198" s="8">
        <v>140</v>
      </c>
      <c r="B2198" s="8">
        <v>28</v>
      </c>
      <c r="C2198" s="8" t="s">
        <v>26</v>
      </c>
      <c r="D2198" s="8" t="s">
        <v>64</v>
      </c>
      <c r="E2198" s="9">
        <f>6.89-3.27-0.052-0.187-0.241-2.727-0.163-0.17-0.187+0.129</f>
        <v>2.1999999999999797E-2</v>
      </c>
    </row>
    <row r="2199" spans="1:5" x14ac:dyDescent="0.3">
      <c r="A2199" s="8">
        <v>140</v>
      </c>
      <c r="B2199" s="8">
        <v>28</v>
      </c>
      <c r="C2199" s="8" t="s">
        <v>26</v>
      </c>
      <c r="D2199" s="8" t="s">
        <v>64</v>
      </c>
      <c r="E2199" s="9">
        <f>2.63+1.32-0.137-0.067-1.48-0.945-0.317-0.429</f>
        <v>0.57500000000000018</v>
      </c>
    </row>
    <row r="2200" spans="1:5" x14ac:dyDescent="0.3">
      <c r="A2200" s="8">
        <v>140</v>
      </c>
      <c r="B2200" s="8">
        <v>28</v>
      </c>
      <c r="C2200" s="8" t="s">
        <v>26</v>
      </c>
      <c r="D2200" s="8" t="s">
        <v>64</v>
      </c>
      <c r="E2200" s="9">
        <f>5-2.63-1.32</f>
        <v>1.05</v>
      </c>
    </row>
    <row r="2201" spans="1:5" x14ac:dyDescent="0.3">
      <c r="A2201" s="8">
        <v>140</v>
      </c>
      <c r="B2201" s="8">
        <v>28</v>
      </c>
      <c r="C2201" s="8">
        <v>35</v>
      </c>
      <c r="D2201" s="8" t="s">
        <v>1</v>
      </c>
      <c r="E2201" s="9">
        <v>5</v>
      </c>
    </row>
    <row r="2202" spans="1:5" x14ac:dyDescent="0.3">
      <c r="A2202" s="8">
        <v>140</v>
      </c>
      <c r="B2202" s="8">
        <v>28</v>
      </c>
      <c r="C2202" s="8">
        <v>45</v>
      </c>
      <c r="D2202" s="8" t="s">
        <v>1</v>
      </c>
      <c r="E2202" s="9">
        <v>5</v>
      </c>
    </row>
    <row r="2203" spans="1:5" x14ac:dyDescent="0.3">
      <c r="A2203" s="10">
        <v>140</v>
      </c>
      <c r="B2203" s="10">
        <v>28</v>
      </c>
      <c r="C2203" s="10" t="s">
        <v>28</v>
      </c>
      <c r="D2203" s="10" t="s">
        <v>1</v>
      </c>
      <c r="E2203" s="15">
        <f>1.975+2.67+2.68-0.168-0.128-0.028</f>
        <v>7.0009999999999994</v>
      </c>
    </row>
    <row r="2204" spans="1:5" x14ac:dyDescent="0.3">
      <c r="A2204" s="10">
        <v>140</v>
      </c>
      <c r="B2204" s="10">
        <v>28</v>
      </c>
      <c r="C2204" s="10" t="s">
        <v>30</v>
      </c>
      <c r="D2204" s="10" t="s">
        <v>1</v>
      </c>
      <c r="E2204" s="15">
        <f>2.48+2.415+0.595</f>
        <v>5.4899999999999993</v>
      </c>
    </row>
    <row r="2205" spans="1:5" x14ac:dyDescent="0.3">
      <c r="A2205" s="8">
        <v>140</v>
      </c>
      <c r="B2205" s="8">
        <v>30</v>
      </c>
      <c r="C2205" s="8">
        <v>20</v>
      </c>
      <c r="D2205" s="8" t="s">
        <v>1</v>
      </c>
      <c r="E2205" s="9">
        <v>5</v>
      </c>
    </row>
    <row r="2206" spans="1:5" x14ac:dyDescent="0.3">
      <c r="A2206" s="8">
        <v>140</v>
      </c>
      <c r="B2206" s="8">
        <v>30</v>
      </c>
      <c r="C2206" s="8">
        <v>45</v>
      </c>
      <c r="D2206" s="8" t="s">
        <v>15</v>
      </c>
      <c r="E2206" s="9">
        <f>1.661+5.503-1.082-0.461-0.426-0.25-0.461-1.386-1.361-1.55-0.056-0.049-0.071+0.007</f>
        <v>1.7999999999998954E-2</v>
      </c>
    </row>
    <row r="2207" spans="1:5" x14ac:dyDescent="0.3">
      <c r="A2207" s="8">
        <v>140</v>
      </c>
      <c r="B2207" s="8">
        <v>30</v>
      </c>
      <c r="C2207" s="8">
        <v>45</v>
      </c>
      <c r="D2207" s="8" t="s">
        <v>1</v>
      </c>
      <c r="E2207" s="9">
        <v>5</v>
      </c>
    </row>
    <row r="2208" spans="1:5" x14ac:dyDescent="0.3">
      <c r="A2208" s="10">
        <v>140</v>
      </c>
      <c r="B2208" s="10">
        <v>30</v>
      </c>
      <c r="C2208" s="10" t="s">
        <v>36</v>
      </c>
      <c r="D2208" s="10" t="s">
        <v>1</v>
      </c>
      <c r="E2208" s="15">
        <f>4.75-0.846</f>
        <v>3.9039999999999999</v>
      </c>
    </row>
    <row r="2209" spans="1:5" x14ac:dyDescent="0.3">
      <c r="A2209" s="10">
        <v>140</v>
      </c>
      <c r="B2209" s="10">
        <v>30</v>
      </c>
      <c r="C2209" s="10" t="s">
        <v>28</v>
      </c>
      <c r="D2209" s="10" t="s">
        <v>1</v>
      </c>
      <c r="E2209" s="15">
        <f>2.655+2.65+0.67+0.617+0.615</f>
        <v>7.2069999999999999</v>
      </c>
    </row>
    <row r="2210" spans="1:5" x14ac:dyDescent="0.3">
      <c r="A2210" s="10">
        <v>140</v>
      </c>
      <c r="B2210" s="10">
        <v>30</v>
      </c>
      <c r="C2210" s="10" t="s">
        <v>30</v>
      </c>
      <c r="D2210" s="10" t="s">
        <v>1</v>
      </c>
      <c r="E2210" s="15">
        <f>4.78-0.166-0.035-0.086-0.126-0.151-0.306-0.127-0.199-0.613-0.609-0.178-0.168-0.086</f>
        <v>1.9299999999999995</v>
      </c>
    </row>
    <row r="2211" spans="1:5" x14ac:dyDescent="0.3">
      <c r="A2211" s="8">
        <v>140</v>
      </c>
      <c r="B2211" s="8">
        <v>30</v>
      </c>
      <c r="C2211" s="8" t="s">
        <v>30</v>
      </c>
      <c r="D2211" s="8" t="s">
        <v>1</v>
      </c>
      <c r="E2211" s="9">
        <v>5</v>
      </c>
    </row>
    <row r="2212" spans="1:5" x14ac:dyDescent="0.3">
      <c r="A2212" s="8">
        <v>140</v>
      </c>
      <c r="B2212" s="8">
        <v>32</v>
      </c>
      <c r="C2212" s="8">
        <v>20</v>
      </c>
      <c r="D2212" s="8" t="s">
        <v>1</v>
      </c>
      <c r="E2212" s="9">
        <v>5</v>
      </c>
    </row>
    <row r="2213" spans="1:5" x14ac:dyDescent="0.3">
      <c r="A2213" s="10">
        <v>140</v>
      </c>
      <c r="B2213" s="10">
        <v>32</v>
      </c>
      <c r="C2213" s="10">
        <v>35</v>
      </c>
      <c r="D2213" s="10" t="s">
        <v>1</v>
      </c>
      <c r="E2213" s="15">
        <f>0.781-0.116-0.305-0.17</f>
        <v>0.19000000000000003</v>
      </c>
    </row>
    <row r="2214" spans="1:5" x14ac:dyDescent="0.3">
      <c r="A2214" s="8">
        <v>140</v>
      </c>
      <c r="B2214" s="8">
        <v>32</v>
      </c>
      <c r="C2214" s="8">
        <v>35</v>
      </c>
      <c r="D2214" s="8" t="s">
        <v>1</v>
      </c>
      <c r="E2214" s="9">
        <v>5</v>
      </c>
    </row>
    <row r="2215" spans="1:5" x14ac:dyDescent="0.3">
      <c r="A2215" s="8">
        <v>140</v>
      </c>
      <c r="B2215" s="8">
        <v>32</v>
      </c>
      <c r="C2215" s="8">
        <v>45</v>
      </c>
      <c r="D2215" s="8" t="s">
        <v>1</v>
      </c>
      <c r="E2215" s="9">
        <v>5</v>
      </c>
    </row>
    <row r="2216" spans="1:5" x14ac:dyDescent="0.3">
      <c r="A2216" s="10">
        <v>140</v>
      </c>
      <c r="B2216" s="10">
        <v>32</v>
      </c>
      <c r="C2216" s="10" t="s">
        <v>28</v>
      </c>
      <c r="D2216" s="10" t="s">
        <v>1</v>
      </c>
      <c r="E2216" s="15">
        <f>1.48+1.505+2.25-0.133-0.615-0.261-0.163-3.089-0.09</f>
        <v>0.8839999999999989</v>
      </c>
    </row>
    <row r="2217" spans="1:5" x14ac:dyDescent="0.3">
      <c r="A2217" s="10">
        <v>140</v>
      </c>
      <c r="B2217" s="10">
        <v>34</v>
      </c>
      <c r="C2217" s="10" t="s">
        <v>28</v>
      </c>
      <c r="D2217" s="10" t="s">
        <v>1</v>
      </c>
      <c r="E2217" s="15">
        <f>4.69-0.804</f>
        <v>3.8860000000000001</v>
      </c>
    </row>
    <row r="2218" spans="1:5" x14ac:dyDescent="0.3">
      <c r="A2218" s="8">
        <v>140</v>
      </c>
      <c r="B2218" s="8">
        <v>36</v>
      </c>
      <c r="C2218" s="8">
        <v>20</v>
      </c>
      <c r="D2218" s="8" t="s">
        <v>1</v>
      </c>
      <c r="E2218" s="9">
        <v>5</v>
      </c>
    </row>
    <row r="2219" spans="1:5" x14ac:dyDescent="0.3">
      <c r="A2219" s="10">
        <v>140</v>
      </c>
      <c r="B2219" s="10">
        <v>36</v>
      </c>
      <c r="C2219" s="10" t="s">
        <v>26</v>
      </c>
      <c r="D2219" s="10" t="s">
        <v>64</v>
      </c>
      <c r="E2219" s="15">
        <f>9.65-1.605-0.818-0.097-0.07-0.017-0.82-0.632-0.819-0.144-0.049-0.052-0.538-0.813-0.823-0.097-0.227-0.097-0.282-0.065-0.802-0.196-0.337-0.013-0.278+0.092</f>
        <v>5.0999999999999462E-2</v>
      </c>
    </row>
    <row r="2220" spans="1:5" x14ac:dyDescent="0.3">
      <c r="A2220" s="10">
        <v>140</v>
      </c>
      <c r="B2220" s="10">
        <v>36</v>
      </c>
      <c r="C2220" s="10" t="s">
        <v>26</v>
      </c>
      <c r="D2220" s="10" t="s">
        <v>64</v>
      </c>
      <c r="E2220" s="15">
        <f>4.775-1.668-0.857-0.098</f>
        <v>2.1520000000000001</v>
      </c>
    </row>
    <row r="2221" spans="1:5" x14ac:dyDescent="0.3">
      <c r="A2221" s="8">
        <v>140</v>
      </c>
      <c r="B2221" s="8">
        <v>36</v>
      </c>
      <c r="C2221" s="8">
        <v>35</v>
      </c>
      <c r="D2221" s="8" t="s">
        <v>1</v>
      </c>
      <c r="E2221" s="9">
        <v>5</v>
      </c>
    </row>
    <row r="2222" spans="1:5" x14ac:dyDescent="0.3">
      <c r="A2222" s="8">
        <v>140</v>
      </c>
      <c r="B2222" s="8">
        <v>36</v>
      </c>
      <c r="C2222" s="8">
        <v>45</v>
      </c>
      <c r="D2222" s="8" t="s">
        <v>1</v>
      </c>
      <c r="E2222" s="9">
        <v>5</v>
      </c>
    </row>
    <row r="2223" spans="1:5" x14ac:dyDescent="0.3">
      <c r="A2223" s="10">
        <v>140</v>
      </c>
      <c r="B2223" s="10">
        <v>36</v>
      </c>
      <c r="C2223" s="10" t="s">
        <v>28</v>
      </c>
      <c r="D2223" s="10" t="s">
        <v>1</v>
      </c>
      <c r="E2223" s="15">
        <f>2.265+2.405+0.817+2.415+2.575-1.217-0.606-0.842-0.833</f>
        <v>6.9790000000000001</v>
      </c>
    </row>
    <row r="2224" spans="1:5" x14ac:dyDescent="0.3">
      <c r="A2224" s="10">
        <v>140</v>
      </c>
      <c r="B2224" s="10">
        <v>36</v>
      </c>
      <c r="C2224" s="10" t="s">
        <v>28</v>
      </c>
      <c r="D2224" s="10" t="s">
        <v>1</v>
      </c>
      <c r="E2224" s="15">
        <f>10.1-2.265-0.817-2.415-2.575</f>
        <v>2.0279999999999987</v>
      </c>
    </row>
    <row r="2225" spans="1:5" x14ac:dyDescent="0.3">
      <c r="A2225" s="10">
        <v>140</v>
      </c>
      <c r="B2225" s="10">
        <v>36</v>
      </c>
      <c r="C2225" s="10" t="s">
        <v>30</v>
      </c>
      <c r="D2225" s="10" t="s">
        <v>1</v>
      </c>
      <c r="E2225" s="15">
        <f>2.545+0.845+2.565-0.19-0.86-0.865-0.87-0.097</f>
        <v>3.0729999999999991</v>
      </c>
    </row>
    <row r="2226" spans="1:5" x14ac:dyDescent="0.3">
      <c r="A2226" s="8">
        <v>140</v>
      </c>
      <c r="B2226" s="8">
        <v>36</v>
      </c>
      <c r="C2226" s="8" t="s">
        <v>30</v>
      </c>
      <c r="D2226" s="8" t="s">
        <v>1</v>
      </c>
      <c r="E2226" s="9">
        <v>5</v>
      </c>
    </row>
    <row r="2227" spans="1:5" x14ac:dyDescent="0.3">
      <c r="A2227" s="8">
        <v>140</v>
      </c>
      <c r="B2227" s="8">
        <v>38</v>
      </c>
      <c r="C2227" s="8" t="s">
        <v>28</v>
      </c>
      <c r="D2227" s="8" t="s">
        <v>1</v>
      </c>
      <c r="E2227" s="15">
        <v>5</v>
      </c>
    </row>
    <row r="2228" spans="1:5" x14ac:dyDescent="0.3">
      <c r="A2228" s="8">
        <v>140</v>
      </c>
      <c r="B2228" s="8">
        <v>40</v>
      </c>
      <c r="C2228" s="8">
        <v>20</v>
      </c>
      <c r="D2228" s="8" t="s">
        <v>1</v>
      </c>
      <c r="E2228" s="9">
        <v>5</v>
      </c>
    </row>
    <row r="2229" spans="1:5" x14ac:dyDescent="0.3">
      <c r="A2229" s="8">
        <v>140</v>
      </c>
      <c r="B2229" s="8">
        <v>40</v>
      </c>
      <c r="C2229" s="8">
        <v>45</v>
      </c>
      <c r="D2229" s="8" t="s">
        <v>1</v>
      </c>
      <c r="E2229" s="9">
        <v>5</v>
      </c>
    </row>
    <row r="2230" spans="1:5" x14ac:dyDescent="0.3">
      <c r="A2230" s="10">
        <v>140</v>
      </c>
      <c r="B2230" s="10">
        <v>40</v>
      </c>
      <c r="C2230" s="10" t="s">
        <v>28</v>
      </c>
      <c r="D2230" s="10" t="s">
        <v>1</v>
      </c>
      <c r="E2230" s="15">
        <f>2.585+1+2.38+2.36-0.035-0.517-2.199</f>
        <v>5.573999999999999</v>
      </c>
    </row>
    <row r="2231" spans="1:5" x14ac:dyDescent="0.3">
      <c r="A2231" s="8">
        <v>140</v>
      </c>
      <c r="B2231" s="8">
        <v>40</v>
      </c>
      <c r="C2231" s="8" t="s">
        <v>30</v>
      </c>
      <c r="D2231" s="8" t="s">
        <v>1</v>
      </c>
      <c r="E2231" s="9">
        <v>5</v>
      </c>
    </row>
    <row r="2232" spans="1:5" x14ac:dyDescent="0.3">
      <c r="A2232" s="10">
        <v>146</v>
      </c>
      <c r="B2232" s="10">
        <v>5</v>
      </c>
      <c r="C2232" s="10">
        <v>20</v>
      </c>
      <c r="D2232" s="10" t="s">
        <v>1</v>
      </c>
      <c r="E2232" s="15">
        <f>0.185+2.054+2.662+0.171+0.13-0.023-0.061-0.013-0.061-0.134-0.017-0.175-0.081+0.9-0.042-0.021-0.012-0.041-0.062-0.158-0.029-0.012-0.042-0.022-0.013-0.02</f>
        <v>5.0630000000000006</v>
      </c>
    </row>
    <row r="2233" spans="1:5" x14ac:dyDescent="0.3">
      <c r="A2233" s="10">
        <v>146</v>
      </c>
      <c r="B2233" s="10">
        <v>5</v>
      </c>
      <c r="C2233" s="10" t="s">
        <v>26</v>
      </c>
      <c r="D2233" s="10" t="s">
        <v>64</v>
      </c>
      <c r="E2233" s="15">
        <f>7.68-0.055-0.177-0.019+0.754</f>
        <v>8.1829999999999998</v>
      </c>
    </row>
    <row r="2234" spans="1:5" x14ac:dyDescent="0.3">
      <c r="A2234" s="10">
        <v>146</v>
      </c>
      <c r="B2234" s="10">
        <v>5</v>
      </c>
      <c r="C2234" s="10">
        <v>35</v>
      </c>
      <c r="D2234" s="10" t="s">
        <v>1</v>
      </c>
      <c r="E2234" s="15">
        <f>4.95-0.038</f>
        <v>4.9119999999999999</v>
      </c>
    </row>
    <row r="2235" spans="1:5" x14ac:dyDescent="0.3">
      <c r="A2235" s="10">
        <v>146</v>
      </c>
      <c r="B2235" s="10">
        <v>5</v>
      </c>
      <c r="C2235" s="10">
        <v>45</v>
      </c>
      <c r="D2235" s="10" t="s">
        <v>1</v>
      </c>
      <c r="E2235" s="15">
        <f>2.68+0.204-0.031</f>
        <v>2.8530000000000002</v>
      </c>
    </row>
    <row r="2236" spans="1:5" x14ac:dyDescent="0.3">
      <c r="A2236" s="10">
        <v>146</v>
      </c>
      <c r="B2236" s="10">
        <v>5.5</v>
      </c>
      <c r="C2236" s="10">
        <v>45</v>
      </c>
      <c r="D2236" s="10" t="s">
        <v>1</v>
      </c>
      <c r="E2236" s="15">
        <f>1.55-0.081-0.021</f>
        <v>1.4480000000000002</v>
      </c>
    </row>
    <row r="2237" spans="1:5" x14ac:dyDescent="0.3">
      <c r="A2237" s="10">
        <v>146</v>
      </c>
      <c r="B2237" s="10">
        <v>6</v>
      </c>
      <c r="C2237" s="10">
        <v>20</v>
      </c>
      <c r="D2237" s="10" t="s">
        <v>110</v>
      </c>
      <c r="E2237" s="15">
        <v>0.3</v>
      </c>
    </row>
    <row r="2238" spans="1:5" x14ac:dyDescent="0.3">
      <c r="A2238" s="10">
        <v>146</v>
      </c>
      <c r="B2238" s="10">
        <v>6</v>
      </c>
      <c r="C2238" s="10" t="s">
        <v>26</v>
      </c>
      <c r="D2238" s="10" t="s">
        <v>7</v>
      </c>
      <c r="E2238" s="15">
        <f>2.16-0.487+0.027-0.075-1.219-0.17</f>
        <v>0.2359999999999999</v>
      </c>
    </row>
    <row r="2239" spans="1:5" x14ac:dyDescent="0.3">
      <c r="A2239" s="10">
        <v>146</v>
      </c>
      <c r="B2239" s="10">
        <v>6</v>
      </c>
      <c r="C2239" s="10" t="s">
        <v>26</v>
      </c>
      <c r="D2239" s="10" t="s">
        <v>1</v>
      </c>
      <c r="E2239" s="15">
        <f>0.51-0.043-0.023-0.013-0.023</f>
        <v>0.40799999999999997</v>
      </c>
    </row>
    <row r="2240" spans="1:5" x14ac:dyDescent="0.3">
      <c r="A2240" s="10">
        <v>146</v>
      </c>
      <c r="B2240" s="10">
        <v>6</v>
      </c>
      <c r="C2240" s="10">
        <v>45</v>
      </c>
      <c r="D2240" s="10" t="s">
        <v>1</v>
      </c>
      <c r="E2240" s="15">
        <f>0.162-0.106-0.013+0.192</f>
        <v>0.23500000000000001</v>
      </c>
    </row>
    <row r="2241" spans="1:5" x14ac:dyDescent="0.3">
      <c r="A2241" s="10">
        <v>146</v>
      </c>
      <c r="B2241" s="10">
        <v>6</v>
      </c>
      <c r="C2241" s="10" t="s">
        <v>28</v>
      </c>
      <c r="D2241" s="10" t="s">
        <v>1</v>
      </c>
      <c r="E2241" s="15">
        <f>5.23-0.131</f>
        <v>5.0990000000000002</v>
      </c>
    </row>
    <row r="2242" spans="1:5" x14ac:dyDescent="0.3">
      <c r="A2242" s="10">
        <v>146</v>
      </c>
      <c r="B2242" s="10">
        <v>7</v>
      </c>
      <c r="C2242" s="10" t="s">
        <v>26</v>
      </c>
      <c r="D2242" s="10" t="s">
        <v>7</v>
      </c>
      <c r="E2242" s="15">
        <f>0.85-0.03-0.019-0.124-0.075-0.026</f>
        <v>0.57599999999999996</v>
      </c>
    </row>
    <row r="2243" spans="1:5" x14ac:dyDescent="0.3">
      <c r="A2243" s="10">
        <v>146</v>
      </c>
      <c r="B2243" s="10">
        <v>8</v>
      </c>
      <c r="C2243" s="8">
        <v>20</v>
      </c>
      <c r="D2243" s="8" t="s">
        <v>7</v>
      </c>
      <c r="E2243" s="15">
        <f>0.163-0.064-0.064+0.337-0.016-0.035</f>
        <v>0.32099999999999995</v>
      </c>
    </row>
    <row r="2244" spans="1:5" x14ac:dyDescent="0.3">
      <c r="A2244" s="10">
        <v>146</v>
      </c>
      <c r="B2244" s="10">
        <v>8</v>
      </c>
      <c r="C2244" s="10">
        <v>20</v>
      </c>
      <c r="D2244" s="10" t="s">
        <v>1</v>
      </c>
      <c r="E2244" s="15">
        <f>2.675+0.497+1.7-0.281+0.15-0.008-0.143-0.031-0.089-0.089-0.055-0.023-0.229+0.105-0.058-0.054-0.089-0.09-0.011-0.09-0.275-0.059-0.052-0.089-0.019-0.062-0.271-0.077-0.136-0.033-0.261-0.031-0.052</f>
        <v>2.370000000000001</v>
      </c>
    </row>
    <row r="2245" spans="1:5" x14ac:dyDescent="0.3">
      <c r="A2245" s="10">
        <v>146</v>
      </c>
      <c r="B2245" s="10">
        <v>8</v>
      </c>
      <c r="C2245" s="10" t="s">
        <v>26</v>
      </c>
      <c r="D2245" s="10" t="s">
        <v>7</v>
      </c>
      <c r="E2245" s="15">
        <f>0.947-0.335-0.278+0.307+0.334-0.327-0.335</f>
        <v>0.31299999999999989</v>
      </c>
    </row>
    <row r="2246" spans="1:5" x14ac:dyDescent="0.3">
      <c r="A2246" s="10">
        <v>146</v>
      </c>
      <c r="B2246" s="10">
        <v>8</v>
      </c>
      <c r="C2246" s="8" t="s">
        <v>26</v>
      </c>
      <c r="D2246" s="8" t="s">
        <v>7</v>
      </c>
      <c r="E2246" s="15">
        <f>0.12+0.335-0.03</f>
        <v>0.42500000000000004</v>
      </c>
    </row>
    <row r="2247" spans="1:5" x14ac:dyDescent="0.3">
      <c r="A2247" s="10">
        <v>146</v>
      </c>
      <c r="B2247" s="10">
        <v>8</v>
      </c>
      <c r="C2247" s="10" t="s">
        <v>26</v>
      </c>
      <c r="D2247" s="10" t="s">
        <v>1</v>
      </c>
      <c r="E2247" s="15">
        <f>1.498+0.825+1.43+0.17+5.43+4.38+0.302-0.168-0.057-0.258-0.031-0.011+0.122-0.03-0.088-0.123-0.066-0.088-0.031-0.06</f>
        <v>13.146000000000001</v>
      </c>
    </row>
    <row r="2248" spans="1:5" x14ac:dyDescent="0.3">
      <c r="A2248" s="10">
        <v>146</v>
      </c>
      <c r="B2248" s="10">
        <v>8</v>
      </c>
      <c r="C2248" s="10">
        <v>45</v>
      </c>
      <c r="D2248" s="10" t="s">
        <v>1</v>
      </c>
      <c r="E2248" s="15">
        <f>0.25-0.062+4.59-0.09-0.009-0.069-0.088-0.031-0.75-0.068-0.029</f>
        <v>3.6439999999999997</v>
      </c>
    </row>
    <row r="2249" spans="1:5" x14ac:dyDescent="0.3">
      <c r="A2249" s="10">
        <v>146</v>
      </c>
      <c r="B2249" s="10">
        <v>8</v>
      </c>
      <c r="C2249" s="10" t="s">
        <v>30</v>
      </c>
      <c r="D2249" s="10" t="s">
        <v>1</v>
      </c>
      <c r="E2249" s="15">
        <f>3.36-0.309-0.049-1.57+0.222-0.088-0.16-0.135-0.104-0.031</f>
        <v>1.1359999999999997</v>
      </c>
    </row>
    <row r="2250" spans="1:5" x14ac:dyDescent="0.3">
      <c r="A2250" s="8">
        <v>146</v>
      </c>
      <c r="B2250" s="8">
        <v>8</v>
      </c>
      <c r="C2250" s="8" t="s">
        <v>30</v>
      </c>
      <c r="D2250" s="8" t="s">
        <v>1</v>
      </c>
      <c r="E2250" s="9">
        <v>5</v>
      </c>
    </row>
    <row r="2251" spans="1:5" x14ac:dyDescent="0.3">
      <c r="A2251" s="10">
        <v>146</v>
      </c>
      <c r="B2251" s="10">
        <v>10</v>
      </c>
      <c r="C2251" s="10">
        <v>20</v>
      </c>
      <c r="D2251" s="10" t="s">
        <v>1</v>
      </c>
      <c r="E2251" s="15">
        <f>0.28-0.107+1.615+1.28+0.325-0.806-0.072-0.211-0.304-0.106-0.036-0.217-0.007-0.211-0.037-0.058-0.072-0.036-0.023-0.214-0.1-0.035-0.02-0.036</f>
        <v>0.79200000000000026</v>
      </c>
    </row>
    <row r="2252" spans="1:5" x14ac:dyDescent="0.3">
      <c r="A2252" s="12">
        <v>146</v>
      </c>
      <c r="B2252" s="12">
        <v>10</v>
      </c>
      <c r="C2252" s="12" t="s">
        <v>26</v>
      </c>
      <c r="D2252" s="8" t="s">
        <v>64</v>
      </c>
      <c r="E2252" s="15">
        <f>4.948-0.919-0.6-0.053-0.227+0.766-0.043-0.206-0.11-0.301-0.035-0.071-0.568-0.042-0.038-0.022-0.04-0.035-0.299-0.014-0.036-0.585</f>
        <v>1.4700000000000002</v>
      </c>
    </row>
    <row r="2253" spans="1:5" x14ac:dyDescent="0.3">
      <c r="A2253" s="10">
        <v>146</v>
      </c>
      <c r="B2253" s="10">
        <v>10</v>
      </c>
      <c r="C2253" s="10" t="s">
        <v>26</v>
      </c>
      <c r="D2253" s="10" t="s">
        <v>110</v>
      </c>
      <c r="E2253" s="15">
        <v>0.30599999999999999</v>
      </c>
    </row>
    <row r="2254" spans="1:5" x14ac:dyDescent="0.3">
      <c r="A2254" s="10">
        <v>146</v>
      </c>
      <c r="B2254" s="10">
        <v>10</v>
      </c>
      <c r="C2254" s="10">
        <v>45</v>
      </c>
      <c r="D2254" s="10" t="s">
        <v>1</v>
      </c>
      <c r="E2254" s="15">
        <f>4.438+0.664-0.073-0.143-0.15-0.095-0.51-0.64</f>
        <v>3.4909999999999992</v>
      </c>
    </row>
    <row r="2255" spans="1:5" x14ac:dyDescent="0.3">
      <c r="A2255" s="10">
        <v>146</v>
      </c>
      <c r="B2255" s="10">
        <v>10</v>
      </c>
      <c r="C2255" s="10" t="s">
        <v>30</v>
      </c>
      <c r="D2255" s="10" t="s">
        <v>1</v>
      </c>
      <c r="E2255" s="15">
        <f>0.85-0.287+0.084-0.019+2.83-3.401+2.41-1.054-0.036-0.176-0.02+5.22</f>
        <v>6.4009999999999998</v>
      </c>
    </row>
    <row r="2256" spans="1:5" x14ac:dyDescent="0.3">
      <c r="A2256" s="10">
        <v>146</v>
      </c>
      <c r="B2256" s="10">
        <v>12</v>
      </c>
      <c r="C2256" s="10">
        <v>20</v>
      </c>
      <c r="D2256" s="10" t="s">
        <v>1</v>
      </c>
      <c r="E2256" s="15">
        <f>2.79+0.654-0.336-0.661+0.021-0.099-0.044+1.052-0.044-0.167-0.009-0.009-0.052-0.008-0.044-0.011-0.574-0.034-0.702-0.195-0.128-0.704-0.124-0.032-0.107-0.041-0.05+3.908+0.906-0.019-0.02</f>
        <v>5.117</v>
      </c>
    </row>
    <row r="2257" spans="1:5" x14ac:dyDescent="0.3">
      <c r="A2257" s="10">
        <v>146</v>
      </c>
      <c r="B2257" s="10">
        <v>12</v>
      </c>
      <c r="C2257" s="10" t="s">
        <v>26</v>
      </c>
      <c r="D2257" s="10" t="s">
        <v>1</v>
      </c>
      <c r="E2257" s="15">
        <f>2.7-0.088-0.92-0.128-0.193-0.053-0.701-0.045-0.045+1.01-0.044-0.13-0.743-0.694+0.092+0.892-0.267-0.019-0.084-0.517+0.095</f>
        <v>0.11800000000000002</v>
      </c>
    </row>
    <row r="2258" spans="1:5" x14ac:dyDescent="0.3">
      <c r="A2258" s="26">
        <v>146</v>
      </c>
      <c r="B2258" s="26">
        <v>12</v>
      </c>
      <c r="C2258" s="26" t="s">
        <v>26</v>
      </c>
      <c r="D2258" s="22" t="s">
        <v>64</v>
      </c>
      <c r="E2258" s="18">
        <f>4.974+1.556-0.354-0.362-0.67-0.058-0.053-0.166-0.352-0.087-1.063-0.963-2.325+0.27</f>
        <v>0.34699999999999998</v>
      </c>
    </row>
    <row r="2259" spans="1:5" x14ac:dyDescent="0.3">
      <c r="A2259" s="8">
        <v>146</v>
      </c>
      <c r="B2259" s="8">
        <v>12</v>
      </c>
      <c r="C2259" s="8" t="s">
        <v>26</v>
      </c>
      <c r="D2259" s="8" t="s">
        <v>64</v>
      </c>
      <c r="E2259" s="9">
        <v>6.6619999999999999</v>
      </c>
    </row>
    <row r="2260" spans="1:5" x14ac:dyDescent="0.3">
      <c r="A2260" s="12">
        <v>146</v>
      </c>
      <c r="B2260" s="12">
        <v>12</v>
      </c>
      <c r="C2260" s="12" t="s">
        <v>26</v>
      </c>
      <c r="D2260" s="8" t="s">
        <v>1</v>
      </c>
      <c r="E2260" s="15">
        <v>0.89200000000000002</v>
      </c>
    </row>
    <row r="2261" spans="1:5" x14ac:dyDescent="0.3">
      <c r="A2261" s="10">
        <v>146</v>
      </c>
      <c r="B2261" s="10">
        <v>12</v>
      </c>
      <c r="C2261" s="10">
        <v>35</v>
      </c>
      <c r="D2261" s="10" t="s">
        <v>1</v>
      </c>
      <c r="E2261" s="15">
        <f>4.83-1.412-0.35</f>
        <v>3.0680000000000001</v>
      </c>
    </row>
    <row r="2262" spans="1:5" x14ac:dyDescent="0.3">
      <c r="A2262" s="10">
        <v>146</v>
      </c>
      <c r="B2262" s="10">
        <v>12</v>
      </c>
      <c r="C2262" s="10">
        <v>45</v>
      </c>
      <c r="D2262" s="10" t="s">
        <v>1</v>
      </c>
      <c r="E2262" s="15">
        <f>2.294+0.891</f>
        <v>3.1850000000000001</v>
      </c>
    </row>
    <row r="2263" spans="1:5" x14ac:dyDescent="0.3">
      <c r="A2263" s="10">
        <v>146</v>
      </c>
      <c r="B2263" s="10">
        <v>12</v>
      </c>
      <c r="C2263" s="10" t="s">
        <v>28</v>
      </c>
      <c r="D2263" s="10" t="s">
        <v>1</v>
      </c>
      <c r="E2263" s="15">
        <f>0.925+1.055+0.305+2.62-0.245-0.028-0.024</f>
        <v>4.6080000000000005</v>
      </c>
    </row>
    <row r="2264" spans="1:5" x14ac:dyDescent="0.3">
      <c r="A2264" s="10">
        <v>146</v>
      </c>
      <c r="B2264" s="10">
        <v>12</v>
      </c>
      <c r="C2264" s="10" t="s">
        <v>30</v>
      </c>
      <c r="D2264" s="10" t="s">
        <v>1</v>
      </c>
      <c r="E2264" s="15">
        <f>2.375+2.73</f>
        <v>5.1050000000000004</v>
      </c>
    </row>
    <row r="2265" spans="1:5" x14ac:dyDescent="0.3">
      <c r="A2265" s="10">
        <v>146</v>
      </c>
      <c r="B2265" s="10">
        <v>14</v>
      </c>
      <c r="C2265" s="10">
        <v>20</v>
      </c>
      <c r="D2265" s="10" t="s">
        <v>1</v>
      </c>
      <c r="E2265" s="15">
        <f>5.386-0.035-0.007-0.049-0.049-0.198-0.047-0.14-0.049-0.355-0.13-0.074</f>
        <v>4.2529999999999992</v>
      </c>
    </row>
    <row r="2266" spans="1:5" x14ac:dyDescent="0.3">
      <c r="A2266" s="10">
        <v>146</v>
      </c>
      <c r="B2266" s="10">
        <v>14</v>
      </c>
      <c r="C2266" s="10" t="s">
        <v>26</v>
      </c>
      <c r="D2266" s="10" t="s">
        <v>1</v>
      </c>
      <c r="E2266" s="15">
        <f>5.396-0.672-1.058-0.125-0.027-1.01-0.051-0.13-0.076-0.047-0.1-0.335-0.338+0.338</f>
        <v>1.7650000000000001</v>
      </c>
    </row>
    <row r="2267" spans="1:5" x14ac:dyDescent="0.3">
      <c r="A2267" s="10">
        <v>146</v>
      </c>
      <c r="B2267" s="10">
        <v>14</v>
      </c>
      <c r="C2267" s="10">
        <v>45</v>
      </c>
      <c r="D2267" s="10" t="s">
        <v>1</v>
      </c>
      <c r="E2267" s="15">
        <f>4.873-1.043-0.351-0.232-0.114-0.115-0.232-0.35-0.052-0.1-0.052-0.026-0.348</f>
        <v>1.8579999999999997</v>
      </c>
    </row>
    <row r="2268" spans="1:5" x14ac:dyDescent="0.3">
      <c r="A2268" s="10">
        <v>146</v>
      </c>
      <c r="B2268" s="10">
        <v>14</v>
      </c>
      <c r="C2268" s="10" t="s">
        <v>36</v>
      </c>
      <c r="D2268" s="10" t="s">
        <v>1</v>
      </c>
      <c r="E2268" s="15">
        <v>5.28</v>
      </c>
    </row>
    <row r="2269" spans="1:5" x14ac:dyDescent="0.3">
      <c r="A2269" s="10">
        <v>146</v>
      </c>
      <c r="B2269" s="10">
        <v>14</v>
      </c>
      <c r="C2269" s="10" t="s">
        <v>28</v>
      </c>
      <c r="D2269" s="10" t="s">
        <v>1</v>
      </c>
      <c r="E2269" s="15">
        <f>5.064-0.272+4.373-0.189-1.176-0.566-0.095-1.167-2.02-0.082-0.081-0.277-0.034-0.299-0.096-1.139-0.182-0.592</f>
        <v>1.17</v>
      </c>
    </row>
    <row r="2270" spans="1:5" x14ac:dyDescent="0.3">
      <c r="A2270" s="10">
        <v>146</v>
      </c>
      <c r="B2270" s="10">
        <v>14</v>
      </c>
      <c r="C2270" s="10" t="s">
        <v>28</v>
      </c>
      <c r="D2270" s="10" t="s">
        <v>1</v>
      </c>
      <c r="E2270" s="15">
        <f>2.755+2.375-0.393-1.643-0.073-0.411-0.085</f>
        <v>2.5250000000000004</v>
      </c>
    </row>
    <row r="2271" spans="1:5" x14ac:dyDescent="0.3">
      <c r="A2271" s="8">
        <v>146</v>
      </c>
      <c r="B2271" s="8">
        <v>14</v>
      </c>
      <c r="C2271" s="8" t="s">
        <v>30</v>
      </c>
      <c r="D2271" s="8" t="s">
        <v>1</v>
      </c>
      <c r="E2271" s="9">
        <v>5</v>
      </c>
    </row>
    <row r="2272" spans="1:5" x14ac:dyDescent="0.3">
      <c r="A2272" s="10">
        <v>146</v>
      </c>
      <c r="B2272" s="10">
        <v>16</v>
      </c>
      <c r="C2272" s="10">
        <v>20</v>
      </c>
      <c r="D2272" s="10" t="s">
        <v>1</v>
      </c>
      <c r="E2272" s="15">
        <f>1.95-0.107-0.029-0.054-0.119-0.065-0.311-0.055-0.133</f>
        <v>1.0770000000000002</v>
      </c>
    </row>
    <row r="2273" spans="1:5" x14ac:dyDescent="0.3">
      <c r="A2273" s="12">
        <v>146</v>
      </c>
      <c r="B2273" s="12">
        <v>16</v>
      </c>
      <c r="C2273" s="12">
        <v>20</v>
      </c>
      <c r="D2273" s="8" t="s">
        <v>1</v>
      </c>
      <c r="E2273" s="15">
        <f>5-1.95</f>
        <v>3.05</v>
      </c>
    </row>
    <row r="2274" spans="1:5" x14ac:dyDescent="0.3">
      <c r="A2274" s="10">
        <v>146</v>
      </c>
      <c r="B2274" s="10">
        <v>16</v>
      </c>
      <c r="C2274" s="10" t="s">
        <v>26</v>
      </c>
      <c r="D2274" s="10" t="s">
        <v>1</v>
      </c>
      <c r="E2274" s="15">
        <f>5.166+0.438-0.02-0.039-0.055-0.33-0.093-0.046-0.028-0.018-0.33-0.172-0.059-0.659-0.058-0.168-0.199-0.119-0.033-0.093-0.06-0.036-0.316-0.33</f>
        <v>2.3430000000000022</v>
      </c>
    </row>
    <row r="2275" spans="1:5" x14ac:dyDescent="0.3">
      <c r="A2275" s="8">
        <v>146</v>
      </c>
      <c r="B2275" s="8">
        <v>16</v>
      </c>
      <c r="C2275" s="8">
        <v>35</v>
      </c>
      <c r="D2275" s="8" t="s">
        <v>1</v>
      </c>
      <c r="E2275" s="9">
        <f>10.766+19.704-0.021-0.188-0.038-0.062-0.351-0.054-0.055-0.158-0.351-2.806-0.05-0.107-0.247-3.175-0.087-0.353-0.081-0.024-0.055-0.503-0.707+0.166-0.176-0.704-1.76-0.025-0.395-0.351-3.273-0.35-0.109-0.091-0.06-0.054-0.353-0.073-0.058-0.008-0.034-0.055-0.173-0.355-1.758-1.056-0.395-0.081-6.9-0.055-0.012-0.012</f>
        <v>2.4369999999999998</v>
      </c>
    </row>
    <row r="2276" spans="1:5" x14ac:dyDescent="0.3">
      <c r="A2276" s="10">
        <v>146</v>
      </c>
      <c r="B2276" s="10">
        <v>16</v>
      </c>
      <c r="C2276" s="10">
        <v>35</v>
      </c>
      <c r="D2276" s="10" t="s">
        <v>1</v>
      </c>
      <c r="E2276" s="15">
        <v>5.1440000000000001</v>
      </c>
    </row>
    <row r="2277" spans="1:5" x14ac:dyDescent="0.3">
      <c r="A2277" s="10">
        <v>146</v>
      </c>
      <c r="B2277" s="10">
        <v>16</v>
      </c>
      <c r="C2277" s="10">
        <v>45</v>
      </c>
      <c r="D2277" s="10" t="s">
        <v>1</v>
      </c>
      <c r="E2277" s="15">
        <f>4.818-0.338</f>
        <v>4.4799999999999995</v>
      </c>
    </row>
    <row r="2278" spans="1:5" x14ac:dyDescent="0.3">
      <c r="A2278" s="10">
        <v>146</v>
      </c>
      <c r="B2278" s="10">
        <v>16</v>
      </c>
      <c r="C2278" s="10">
        <v>45</v>
      </c>
      <c r="D2278" s="10" t="s">
        <v>1</v>
      </c>
      <c r="E2278" s="15">
        <f>0.344-0.14-0.07</f>
        <v>0.13399999999999995</v>
      </c>
    </row>
    <row r="2279" spans="1:5" x14ac:dyDescent="0.3">
      <c r="A2279" s="10">
        <v>146</v>
      </c>
      <c r="B2279" s="10">
        <v>16</v>
      </c>
      <c r="C2279" s="10" t="s">
        <v>28</v>
      </c>
      <c r="D2279" s="10" t="s">
        <v>1</v>
      </c>
      <c r="E2279" s="15">
        <f>10.319-0.272-3.582-0.722-1.793-0.079-0.066-0.618-2.87</f>
        <v>0.31700000000000017</v>
      </c>
    </row>
    <row r="2280" spans="1:5" x14ac:dyDescent="0.3">
      <c r="A2280" s="10">
        <v>146</v>
      </c>
      <c r="B2280" s="10">
        <v>16</v>
      </c>
      <c r="C2280" s="10" t="s">
        <v>28</v>
      </c>
      <c r="D2280" s="10" t="s">
        <v>1</v>
      </c>
      <c r="E2280" s="15">
        <v>2.87</v>
      </c>
    </row>
    <row r="2281" spans="1:5" x14ac:dyDescent="0.3">
      <c r="A2281" s="10">
        <v>146</v>
      </c>
      <c r="B2281" s="10">
        <v>16</v>
      </c>
      <c r="C2281" s="10" t="s">
        <v>30</v>
      </c>
      <c r="D2281" s="10" t="s">
        <v>1</v>
      </c>
      <c r="E2281" s="15">
        <f>2.315+2.845-0.195-1.446-2.231-0.138-0.094-0.081+2.65+1.88-0.106-0.062+2.44-0.081</f>
        <v>7.6959999999999988</v>
      </c>
    </row>
    <row r="2282" spans="1:5" x14ac:dyDescent="0.3">
      <c r="A2282" s="10">
        <v>146</v>
      </c>
      <c r="B2282" s="10">
        <v>18</v>
      </c>
      <c r="C2282" s="10" t="s">
        <v>26</v>
      </c>
      <c r="D2282" s="10" t="s">
        <v>1</v>
      </c>
      <c r="E2282" s="15">
        <f>1.566-0.525-0.177-0.543-0.037-0.032-0.164-0.059</f>
        <v>2.8999999999999887E-2</v>
      </c>
    </row>
    <row r="2283" spans="1:5" x14ac:dyDescent="0.3">
      <c r="A2283" s="10">
        <v>146</v>
      </c>
      <c r="B2283" s="10">
        <v>18</v>
      </c>
      <c r="C2283" s="10" t="s">
        <v>26</v>
      </c>
      <c r="D2283" s="10" t="s">
        <v>64</v>
      </c>
      <c r="E2283" s="15">
        <f>5.81-0.48</f>
        <v>5.33</v>
      </c>
    </row>
    <row r="2284" spans="1:5" x14ac:dyDescent="0.3">
      <c r="A2284" s="10">
        <v>146</v>
      </c>
      <c r="B2284" s="10">
        <v>18</v>
      </c>
      <c r="C2284" s="10">
        <v>35</v>
      </c>
      <c r="D2284" s="10" t="s">
        <v>1</v>
      </c>
      <c r="E2284" s="15">
        <f>3.108+2.732-1.165-0.386-0.04-2.73-0.392-0.043-0.389-0.032+4.6-4.6-0.277</f>
        <v>0.38600000000000023</v>
      </c>
    </row>
    <row r="2285" spans="1:5" x14ac:dyDescent="0.3">
      <c r="A2285" s="10">
        <v>146</v>
      </c>
      <c r="B2285" s="10">
        <v>18</v>
      </c>
      <c r="C2285" s="10">
        <v>35</v>
      </c>
      <c r="D2285" s="10" t="s">
        <v>1</v>
      </c>
      <c r="E2285" s="15">
        <f>0.105+4.6</f>
        <v>4.7050000000000001</v>
      </c>
    </row>
    <row r="2286" spans="1:5" x14ac:dyDescent="0.3">
      <c r="A2286" s="10">
        <v>146</v>
      </c>
      <c r="B2286" s="10">
        <v>18</v>
      </c>
      <c r="C2286" s="10">
        <v>35</v>
      </c>
      <c r="D2286" s="10" t="s">
        <v>1</v>
      </c>
      <c r="E2286" s="15">
        <f>5-4.6</f>
        <v>0.40000000000000036</v>
      </c>
    </row>
    <row r="2287" spans="1:5" x14ac:dyDescent="0.3">
      <c r="A2287" s="8">
        <v>146</v>
      </c>
      <c r="B2287" s="8">
        <v>18</v>
      </c>
      <c r="C2287" s="8">
        <v>45</v>
      </c>
      <c r="D2287" s="8" t="s">
        <v>1</v>
      </c>
      <c r="E2287" s="9">
        <v>5</v>
      </c>
    </row>
    <row r="2288" spans="1:5" x14ac:dyDescent="0.3">
      <c r="A2288" s="8">
        <v>146</v>
      </c>
      <c r="B2288" s="8">
        <v>18</v>
      </c>
      <c r="C2288" s="8" t="s">
        <v>30</v>
      </c>
      <c r="D2288" s="8" t="s">
        <v>1</v>
      </c>
      <c r="E2288" s="9">
        <v>5</v>
      </c>
    </row>
    <row r="2289" spans="1:5" x14ac:dyDescent="0.3">
      <c r="A2289" s="10">
        <v>146</v>
      </c>
      <c r="B2289" s="10">
        <v>20</v>
      </c>
      <c r="C2289" s="10">
        <v>20</v>
      </c>
      <c r="D2289" s="10" t="s">
        <v>1</v>
      </c>
      <c r="E2289" s="15">
        <f>1.593+3.435-0.83-0.097-0.482-0.022-0.5-0.994-0.046-0.066-0.026-0.127-0.384-0.129-0.065+3.82-0.503-0.351-0.285-0.013-0.145-0.161-0.066-0.503-0.159-0.027-1.002-0.08-0.067-0.201-0.098-0.125-0.066-0.034-0.02-0.128-0.489-0.033-0.219</f>
        <v>0.30499999999999983</v>
      </c>
    </row>
    <row r="2290" spans="1:5" x14ac:dyDescent="0.3">
      <c r="A2290" s="8">
        <v>146</v>
      </c>
      <c r="B2290" s="8">
        <v>20</v>
      </c>
      <c r="C2290" s="8">
        <v>20</v>
      </c>
      <c r="D2290" s="8" t="s">
        <v>1</v>
      </c>
      <c r="E2290" s="9">
        <v>5</v>
      </c>
    </row>
    <row r="2291" spans="1:5" x14ac:dyDescent="0.3">
      <c r="A2291" s="10">
        <v>146</v>
      </c>
      <c r="B2291" s="10">
        <v>20</v>
      </c>
      <c r="C2291" s="10">
        <v>45</v>
      </c>
      <c r="D2291" s="10" t="s">
        <v>1</v>
      </c>
      <c r="E2291" s="15">
        <f>4.82-0.192-0.098-0.092-0.066-0.056-0.156-0.048-0.069-0.071-0.038-0.107-0.041-3.467+0.135</f>
        <v>0.45400000000000085</v>
      </c>
    </row>
    <row r="2292" spans="1:5" x14ac:dyDescent="0.3">
      <c r="A2292" s="10">
        <v>146</v>
      </c>
      <c r="B2292" s="10">
        <v>20</v>
      </c>
      <c r="C2292" s="10">
        <v>45</v>
      </c>
      <c r="D2292" s="10" t="s">
        <v>1</v>
      </c>
      <c r="E2292" s="15">
        <f>3.467-0.098-0.255</f>
        <v>3.1140000000000003</v>
      </c>
    </row>
    <row r="2293" spans="1:5" x14ac:dyDescent="0.3">
      <c r="A2293" s="10">
        <v>146</v>
      </c>
      <c r="B2293" s="10">
        <v>20</v>
      </c>
      <c r="C2293" s="10" t="s">
        <v>28</v>
      </c>
      <c r="D2293" s="10" t="s">
        <v>1</v>
      </c>
      <c r="E2293" s="15">
        <f>2.59+4.21-0.128-0.53-0.06-0.903-2.107-2.246-0.116-0.253</f>
        <v>0.45700000000000007</v>
      </c>
    </row>
    <row r="2294" spans="1:5" x14ac:dyDescent="0.3">
      <c r="A2294" s="10">
        <v>146</v>
      </c>
      <c r="B2294" s="10">
        <v>20</v>
      </c>
      <c r="C2294" s="10" t="s">
        <v>30</v>
      </c>
      <c r="D2294" s="10" t="s">
        <v>1</v>
      </c>
      <c r="E2294" s="15">
        <f>5.295-0.016-0.066</f>
        <v>5.2130000000000001</v>
      </c>
    </row>
    <row r="2295" spans="1:5" x14ac:dyDescent="0.3">
      <c r="A2295" s="8">
        <v>146</v>
      </c>
      <c r="B2295" s="8">
        <v>22</v>
      </c>
      <c r="C2295" s="8" t="s">
        <v>26</v>
      </c>
      <c r="D2295" s="8" t="s">
        <v>64</v>
      </c>
      <c r="E2295" s="9">
        <f>4.82-0.072</f>
        <v>4.7480000000000002</v>
      </c>
    </row>
    <row r="2296" spans="1:5" x14ac:dyDescent="0.3">
      <c r="A2296" s="8">
        <v>146</v>
      </c>
      <c r="B2296" s="8">
        <v>22</v>
      </c>
      <c r="C2296" s="8">
        <v>35</v>
      </c>
      <c r="D2296" s="8" t="s">
        <v>1</v>
      </c>
      <c r="E2296" s="9">
        <v>5</v>
      </c>
    </row>
    <row r="2297" spans="1:5" x14ac:dyDescent="0.3">
      <c r="A2297" s="8">
        <v>146</v>
      </c>
      <c r="B2297" s="8">
        <v>22</v>
      </c>
      <c r="C2297" s="8">
        <v>45</v>
      </c>
      <c r="D2297" s="8" t="s">
        <v>1</v>
      </c>
      <c r="E2297" s="9">
        <v>5</v>
      </c>
    </row>
    <row r="2298" spans="1:5" x14ac:dyDescent="0.3">
      <c r="A2298" s="10">
        <v>146</v>
      </c>
      <c r="B2298" s="10">
        <v>22</v>
      </c>
      <c r="C2298" s="10" t="s">
        <v>131</v>
      </c>
      <c r="D2298" s="10" t="s">
        <v>1</v>
      </c>
      <c r="E2298" s="15">
        <f>5.507-0.791-0.528-3.164-0.075</f>
        <v>0.94899999999999873</v>
      </c>
    </row>
    <row r="2299" spans="1:5" x14ac:dyDescent="0.3">
      <c r="A2299" s="10">
        <v>146</v>
      </c>
      <c r="B2299" s="10">
        <v>22</v>
      </c>
      <c r="C2299" s="10" t="s">
        <v>131</v>
      </c>
      <c r="D2299" s="10" t="s">
        <v>1</v>
      </c>
      <c r="E2299" s="15">
        <v>3.1640000000000001</v>
      </c>
    </row>
    <row r="2300" spans="1:5" x14ac:dyDescent="0.3">
      <c r="A2300" s="10">
        <v>146</v>
      </c>
      <c r="B2300" s="10">
        <v>22</v>
      </c>
      <c r="C2300" s="10" t="s">
        <v>28</v>
      </c>
      <c r="D2300" s="10" t="s">
        <v>1</v>
      </c>
      <c r="E2300" s="15">
        <f>4.845+4.82+2.45+2.45-0.633-0.207-0.253-0.636-0.038</f>
        <v>12.797999999999998</v>
      </c>
    </row>
    <row r="2301" spans="1:5" x14ac:dyDescent="0.3">
      <c r="A2301" s="10">
        <v>146</v>
      </c>
      <c r="B2301" s="10">
        <v>22</v>
      </c>
      <c r="C2301" s="10" t="s">
        <v>30</v>
      </c>
      <c r="D2301" s="10" t="s">
        <v>1</v>
      </c>
      <c r="E2301" s="15">
        <f>1.185+1.41-0.118+2.625</f>
        <v>5.1020000000000003</v>
      </c>
    </row>
    <row r="2302" spans="1:5" x14ac:dyDescent="0.3">
      <c r="A2302" s="8">
        <v>146</v>
      </c>
      <c r="B2302" s="8">
        <v>25</v>
      </c>
      <c r="C2302" s="8">
        <v>20</v>
      </c>
      <c r="D2302" s="8" t="s">
        <v>1</v>
      </c>
      <c r="E2302" s="9">
        <v>5</v>
      </c>
    </row>
    <row r="2303" spans="1:5" x14ac:dyDescent="0.3">
      <c r="A2303" s="10">
        <v>146</v>
      </c>
      <c r="B2303" s="10">
        <v>25</v>
      </c>
      <c r="C2303" s="10" t="s">
        <v>26</v>
      </c>
      <c r="D2303" s="10" t="s">
        <v>1</v>
      </c>
      <c r="E2303" s="15">
        <f>4.85-0.079-0.057-0.078-0.094-0.079-0.218-0.117-0.087-0.623-0.229-0.169-0.154-0.087-0.416-0.229-0.064-0.048-0.079-0.027-0.103-0.229-0.19-0.304</f>
        <v>1.089999999999999</v>
      </c>
    </row>
    <row r="2304" spans="1:5" x14ac:dyDescent="0.3">
      <c r="A2304" s="8">
        <v>146</v>
      </c>
      <c r="B2304" s="8">
        <v>25</v>
      </c>
      <c r="C2304" s="8">
        <v>35</v>
      </c>
      <c r="D2304" s="8" t="s">
        <v>1</v>
      </c>
      <c r="E2304" s="9">
        <v>5</v>
      </c>
    </row>
    <row r="2305" spans="1:5" x14ac:dyDescent="0.3">
      <c r="A2305" s="10">
        <v>146</v>
      </c>
      <c r="B2305" s="10">
        <v>25</v>
      </c>
      <c r="C2305" s="10">
        <v>45</v>
      </c>
      <c r="D2305" s="10" t="s">
        <v>1</v>
      </c>
      <c r="E2305" s="15">
        <f>5.238-0.03-0.49-0.053-0.524-0.303-0.041-0.184-0.338-3.157</f>
        <v>0.11799999999999988</v>
      </c>
    </row>
    <row r="2306" spans="1:5" x14ac:dyDescent="0.3">
      <c r="A2306" s="10">
        <v>146</v>
      </c>
      <c r="B2306" s="10">
        <v>25</v>
      </c>
      <c r="C2306" s="10">
        <v>45</v>
      </c>
      <c r="D2306" s="10" t="s">
        <v>1</v>
      </c>
      <c r="E2306" s="15">
        <f>1.402+2.137+2.818+0.723+3.157-0.266-0.527</f>
        <v>9.4439999999999991</v>
      </c>
    </row>
    <row r="2307" spans="1:5" x14ac:dyDescent="0.3">
      <c r="A2307" s="10">
        <v>146</v>
      </c>
      <c r="B2307" s="10">
        <v>25</v>
      </c>
      <c r="C2307" s="10" t="s">
        <v>28</v>
      </c>
      <c r="D2307" s="10" t="s">
        <v>1</v>
      </c>
      <c r="E2307" s="15">
        <f>4.885-0.142-1.883</f>
        <v>2.8599999999999994</v>
      </c>
    </row>
    <row r="2308" spans="1:5" x14ac:dyDescent="0.3">
      <c r="A2308" s="10">
        <v>146</v>
      </c>
      <c r="B2308" s="10">
        <v>25</v>
      </c>
      <c r="C2308" s="10" t="s">
        <v>28</v>
      </c>
      <c r="D2308" s="10" t="s">
        <v>1</v>
      </c>
      <c r="E2308" s="15">
        <v>1.883</v>
      </c>
    </row>
    <row r="2309" spans="1:5" x14ac:dyDescent="0.3">
      <c r="A2309" s="10">
        <v>146</v>
      </c>
      <c r="B2309" s="10">
        <v>25</v>
      </c>
      <c r="C2309" s="10" t="s">
        <v>30</v>
      </c>
      <c r="D2309" s="10" t="s">
        <v>1</v>
      </c>
      <c r="E2309" s="15">
        <f>2.52+2.525-0.049-0.078-0.078-0.153-1.264</f>
        <v>3.4229999999999992</v>
      </c>
    </row>
    <row r="2310" spans="1:5" x14ac:dyDescent="0.3">
      <c r="A2310" s="10">
        <v>146</v>
      </c>
      <c r="B2310" s="10">
        <v>26</v>
      </c>
      <c r="C2310" s="10" t="s">
        <v>28</v>
      </c>
      <c r="D2310" s="10" t="s">
        <v>1</v>
      </c>
      <c r="E2310" s="15">
        <v>4.7350000000000003</v>
      </c>
    </row>
    <row r="2311" spans="1:5" x14ac:dyDescent="0.3">
      <c r="A2311" s="10">
        <v>146</v>
      </c>
      <c r="B2311" s="10">
        <v>28</v>
      </c>
      <c r="C2311" s="10">
        <v>20</v>
      </c>
      <c r="D2311" s="10" t="s">
        <v>1</v>
      </c>
      <c r="E2311" s="15">
        <f>5.155-0.169-0.087-0.029-0.172-0.033-0.291-0.266-0.054-0.028-3.739+0.087-0.029-0.028-0.025</f>
        <v>0.2920000000000007</v>
      </c>
    </row>
    <row r="2312" spans="1:5" x14ac:dyDescent="0.3">
      <c r="A2312" s="10">
        <v>146</v>
      </c>
      <c r="B2312" s="10">
        <v>28</v>
      </c>
      <c r="C2312" s="10">
        <v>20</v>
      </c>
      <c r="D2312" s="10" t="s">
        <v>1</v>
      </c>
      <c r="E2312" s="15">
        <f>3.739-0.755-0.423</f>
        <v>2.5609999999999999</v>
      </c>
    </row>
    <row r="2313" spans="1:5" x14ac:dyDescent="0.3">
      <c r="A2313" s="10">
        <v>146</v>
      </c>
      <c r="B2313" s="10">
        <v>28</v>
      </c>
      <c r="C2313" s="10" t="s">
        <v>26</v>
      </c>
      <c r="D2313" s="10" t="s">
        <v>46</v>
      </c>
      <c r="E2313" s="15">
        <f>3.352+2.118-2.29</f>
        <v>3.1799999999999997</v>
      </c>
    </row>
    <row r="2314" spans="1:5" x14ac:dyDescent="0.3">
      <c r="A2314" s="10">
        <v>146</v>
      </c>
      <c r="B2314" s="10">
        <v>28</v>
      </c>
      <c r="C2314" s="10">
        <v>35</v>
      </c>
      <c r="D2314" s="10" t="s">
        <v>1</v>
      </c>
      <c r="E2314" s="15">
        <f>9.725-0.413-0.064-0.134-0.085-3.081-1.235-0.25-0.61-3.086+0.133</f>
        <v>0.89999999999999858</v>
      </c>
    </row>
    <row r="2315" spans="1:5" x14ac:dyDescent="0.3">
      <c r="A2315" s="10">
        <v>146</v>
      </c>
      <c r="B2315" s="10">
        <v>28</v>
      </c>
      <c r="C2315" s="10">
        <v>35</v>
      </c>
      <c r="D2315" s="10" t="s">
        <v>1</v>
      </c>
      <c r="E2315" s="15">
        <v>3.0859999999999999</v>
      </c>
    </row>
    <row r="2316" spans="1:5" x14ac:dyDescent="0.3">
      <c r="A2316" s="8">
        <v>146</v>
      </c>
      <c r="B2316" s="8">
        <v>28</v>
      </c>
      <c r="C2316" s="8">
        <v>45</v>
      </c>
      <c r="D2316" s="8" t="s">
        <v>1</v>
      </c>
      <c r="E2316" s="9">
        <v>5</v>
      </c>
    </row>
    <row r="2317" spans="1:5" x14ac:dyDescent="0.3">
      <c r="A2317" s="10">
        <v>146</v>
      </c>
      <c r="B2317" s="10">
        <v>28</v>
      </c>
      <c r="C2317" s="10" t="s">
        <v>28</v>
      </c>
      <c r="D2317" s="10" t="s">
        <v>1</v>
      </c>
      <c r="E2317" s="15">
        <f>7.34-0.609-5.497-0.085-0.041-0.167-0.185</f>
        <v>0.75600000000000001</v>
      </c>
    </row>
    <row r="2318" spans="1:5" x14ac:dyDescent="0.3">
      <c r="A2318" s="10">
        <v>146</v>
      </c>
      <c r="B2318" s="10">
        <v>28</v>
      </c>
      <c r="C2318" s="10" t="s">
        <v>28</v>
      </c>
      <c r="D2318" s="10" t="s">
        <v>1</v>
      </c>
      <c r="E2318" s="15">
        <f>2.205+3.705+4.425+2.375</f>
        <v>12.71</v>
      </c>
    </row>
    <row r="2319" spans="1:5" x14ac:dyDescent="0.3">
      <c r="A2319" s="10">
        <v>146</v>
      </c>
      <c r="B2319" s="10">
        <v>28</v>
      </c>
      <c r="C2319" s="10" t="s">
        <v>95</v>
      </c>
      <c r="D2319" s="10" t="s">
        <v>1</v>
      </c>
      <c r="E2319" s="15">
        <f>4.68-1.072</f>
        <v>3.6079999999999997</v>
      </c>
    </row>
    <row r="2320" spans="1:5" x14ac:dyDescent="0.3">
      <c r="A2320" s="10">
        <v>146</v>
      </c>
      <c r="B2320" s="10">
        <v>28</v>
      </c>
      <c r="C2320" s="10" t="s">
        <v>30</v>
      </c>
      <c r="D2320" s="10" t="s">
        <v>1</v>
      </c>
      <c r="E2320" s="15">
        <f>2.375+2.88-0.128-0.485</f>
        <v>4.6419999999999995</v>
      </c>
    </row>
    <row r="2321" spans="1:5" x14ac:dyDescent="0.3">
      <c r="A2321" s="8">
        <v>146</v>
      </c>
      <c r="B2321" s="8">
        <v>30</v>
      </c>
      <c r="C2321" s="8">
        <v>20</v>
      </c>
      <c r="D2321" s="8" t="s">
        <v>1</v>
      </c>
      <c r="E2321" s="9">
        <v>5</v>
      </c>
    </row>
    <row r="2322" spans="1:5" x14ac:dyDescent="0.3">
      <c r="A2322" s="10">
        <v>146</v>
      </c>
      <c r="B2322" s="10">
        <v>30</v>
      </c>
      <c r="C2322" s="10" t="s">
        <v>26</v>
      </c>
      <c r="D2322" s="10" t="s">
        <v>64</v>
      </c>
      <c r="E2322" s="15">
        <f>4.73-0.844-0.289-0.779</f>
        <v>2.8180000000000005</v>
      </c>
    </row>
    <row r="2323" spans="1:5" x14ac:dyDescent="0.3">
      <c r="A2323" s="10">
        <v>146</v>
      </c>
      <c r="B2323" s="10">
        <v>30</v>
      </c>
      <c r="C2323" s="10">
        <v>45</v>
      </c>
      <c r="D2323" s="10" t="s">
        <v>1</v>
      </c>
      <c r="E2323" s="15">
        <f>2.588+0.5+2-1.04-0.07-0.098-0.516-0.089-0.132-0.109-0.161-0.091-0.249-0.52-0.091-0.513-0.091-0.175-0.108-0.294</f>
        <v>0.74099999999999966</v>
      </c>
    </row>
    <row r="2324" spans="1:5" x14ac:dyDescent="0.3">
      <c r="A2324" s="8">
        <v>146</v>
      </c>
      <c r="B2324" s="8">
        <v>30</v>
      </c>
      <c r="C2324" s="8">
        <v>45</v>
      </c>
      <c r="D2324" s="8" t="s">
        <v>1</v>
      </c>
      <c r="E2324" s="9">
        <v>5</v>
      </c>
    </row>
    <row r="2325" spans="1:5" x14ac:dyDescent="0.3">
      <c r="A2325" s="10">
        <v>146</v>
      </c>
      <c r="B2325" s="10">
        <v>30</v>
      </c>
      <c r="C2325" s="10" t="s">
        <v>28</v>
      </c>
      <c r="D2325" s="10" t="s">
        <v>1</v>
      </c>
      <c r="E2325" s="15">
        <f>7.125-1.609+0.172-0.819-0.81-0.816-0.811-0.813</f>
        <v>1.6189999999999996</v>
      </c>
    </row>
    <row r="2326" spans="1:5" x14ac:dyDescent="0.3">
      <c r="A2326" s="10">
        <v>146</v>
      </c>
      <c r="B2326" s="10">
        <v>32</v>
      </c>
      <c r="C2326" s="10">
        <v>20</v>
      </c>
      <c r="D2326" s="10" t="s">
        <v>1</v>
      </c>
      <c r="E2326" s="15">
        <f>5.396-0.098-0.456-0.214-0.453-0.901-0.892-0.447-0.139-0.058-0.055-0.14-0.204-0.053-0.112-0.1-0.053-0.328-0.122</f>
        <v>0.57099999999999917</v>
      </c>
    </row>
    <row r="2327" spans="1:5" x14ac:dyDescent="0.3">
      <c r="A2327" s="10">
        <v>146</v>
      </c>
      <c r="B2327" s="10">
        <v>32</v>
      </c>
      <c r="C2327" s="10">
        <v>20</v>
      </c>
      <c r="D2327" s="10" t="s">
        <v>1</v>
      </c>
      <c r="E2327" s="15">
        <v>0.51600000000000001</v>
      </c>
    </row>
    <row r="2328" spans="1:5" x14ac:dyDescent="0.3">
      <c r="A2328" s="8">
        <v>146</v>
      </c>
      <c r="B2328" s="8">
        <v>32</v>
      </c>
      <c r="C2328" s="8" t="s">
        <v>26</v>
      </c>
      <c r="D2328" s="8" t="s">
        <v>64</v>
      </c>
      <c r="E2328" s="9">
        <f>0.34+8.17-3.722-0.168-0.673-0.013-0.114-0.068-0.459-3.125+3.235+1.57+4.855</f>
        <v>9.8279999999999994</v>
      </c>
    </row>
    <row r="2329" spans="1:5" x14ac:dyDescent="0.3">
      <c r="A2329" s="8">
        <v>146</v>
      </c>
      <c r="B2329" s="8">
        <v>32</v>
      </c>
      <c r="C2329" s="8">
        <v>35</v>
      </c>
      <c r="D2329" s="8" t="s">
        <v>1</v>
      </c>
      <c r="E2329" s="9">
        <v>5</v>
      </c>
    </row>
    <row r="2330" spans="1:5" x14ac:dyDescent="0.3">
      <c r="A2330" s="8">
        <v>146</v>
      </c>
      <c r="B2330" s="8">
        <v>32</v>
      </c>
      <c r="C2330" s="8">
        <v>45</v>
      </c>
      <c r="D2330" s="8" t="s">
        <v>1</v>
      </c>
      <c r="E2330" s="9">
        <v>5</v>
      </c>
    </row>
    <row r="2331" spans="1:5" x14ac:dyDescent="0.3">
      <c r="A2331" s="10">
        <v>146</v>
      </c>
      <c r="B2331" s="10">
        <v>32</v>
      </c>
      <c r="C2331" s="10" t="s">
        <v>28</v>
      </c>
      <c r="D2331" s="10" t="s">
        <v>1</v>
      </c>
      <c r="E2331" s="15">
        <v>2.5299999999999998</v>
      </c>
    </row>
    <row r="2332" spans="1:5" x14ac:dyDescent="0.3">
      <c r="A2332" s="10">
        <v>146</v>
      </c>
      <c r="B2332" s="10">
        <v>32</v>
      </c>
      <c r="C2332" s="10" t="s">
        <v>30</v>
      </c>
      <c r="D2332" s="10" t="s">
        <v>1</v>
      </c>
      <c r="E2332" s="15">
        <f>2.71-0.111-0.232+1.855</f>
        <v>4.2219999999999995</v>
      </c>
    </row>
    <row r="2333" spans="1:5" x14ac:dyDescent="0.3">
      <c r="A2333" s="8">
        <v>146</v>
      </c>
      <c r="B2333" s="8">
        <v>32</v>
      </c>
      <c r="C2333" s="8" t="s">
        <v>30</v>
      </c>
      <c r="D2333" s="8" t="s">
        <v>1</v>
      </c>
      <c r="E2333" s="9">
        <v>5</v>
      </c>
    </row>
    <row r="2334" spans="1:5" x14ac:dyDescent="0.3">
      <c r="A2334" s="8">
        <v>146</v>
      </c>
      <c r="B2334" s="8">
        <v>36</v>
      </c>
      <c r="C2334" s="8">
        <v>20</v>
      </c>
      <c r="D2334" s="8" t="s">
        <v>1</v>
      </c>
      <c r="E2334" s="9">
        <v>5</v>
      </c>
    </row>
    <row r="2335" spans="1:5" x14ac:dyDescent="0.3">
      <c r="A2335" s="10">
        <v>146</v>
      </c>
      <c r="B2335" s="10">
        <v>36</v>
      </c>
      <c r="C2335" s="10" t="s">
        <v>26</v>
      </c>
      <c r="D2335" s="10" t="s">
        <v>1</v>
      </c>
      <c r="E2335" s="15">
        <f>3.44+0.504-0.201</f>
        <v>3.7429999999999999</v>
      </c>
    </row>
    <row r="2336" spans="1:5" x14ac:dyDescent="0.3">
      <c r="A2336" s="10">
        <v>146</v>
      </c>
      <c r="B2336" s="10">
        <v>36</v>
      </c>
      <c r="C2336" s="10" t="s">
        <v>26</v>
      </c>
      <c r="D2336" s="10" t="s">
        <v>64</v>
      </c>
      <c r="E2336" s="15">
        <f>3.01-0.6-1.223</f>
        <v>1.1869999999999996</v>
      </c>
    </row>
    <row r="2337" spans="1:5" x14ac:dyDescent="0.3">
      <c r="A2337" s="8">
        <v>146</v>
      </c>
      <c r="B2337" s="8">
        <v>36</v>
      </c>
      <c r="C2337" s="8">
        <v>35</v>
      </c>
      <c r="D2337" s="8" t="s">
        <v>1</v>
      </c>
      <c r="E2337" s="9">
        <v>5</v>
      </c>
    </row>
    <row r="2338" spans="1:5" x14ac:dyDescent="0.3">
      <c r="A2338" s="8">
        <v>146</v>
      </c>
      <c r="B2338" s="8">
        <v>36</v>
      </c>
      <c r="C2338" s="8">
        <v>45</v>
      </c>
      <c r="D2338" s="8" t="s">
        <v>1</v>
      </c>
      <c r="E2338" s="9">
        <v>5</v>
      </c>
    </row>
    <row r="2339" spans="1:5" x14ac:dyDescent="0.3">
      <c r="A2339" s="10">
        <v>146</v>
      </c>
      <c r="B2339" s="10">
        <v>36</v>
      </c>
      <c r="C2339" s="10" t="s">
        <v>28</v>
      </c>
      <c r="D2339" s="10" t="s">
        <v>1</v>
      </c>
      <c r="E2339" s="15">
        <f>0.685+0.85-0.105-0.102-0.396</f>
        <v>0.93200000000000005</v>
      </c>
    </row>
    <row r="2340" spans="1:5" x14ac:dyDescent="0.3">
      <c r="A2340" s="10">
        <v>146</v>
      </c>
      <c r="B2340" s="10">
        <v>36</v>
      </c>
      <c r="C2340" s="10" t="s">
        <v>28</v>
      </c>
      <c r="D2340" s="10" t="s">
        <v>1</v>
      </c>
      <c r="E2340" s="15">
        <f>10.54-0.103+0.585-0.527</f>
        <v>10.494999999999999</v>
      </c>
    </row>
    <row r="2341" spans="1:5" x14ac:dyDescent="0.3">
      <c r="A2341" s="10">
        <v>146</v>
      </c>
      <c r="B2341" s="10">
        <v>36</v>
      </c>
      <c r="C2341" s="10" t="s">
        <v>30</v>
      </c>
      <c r="D2341" s="10" t="s">
        <v>1</v>
      </c>
      <c r="E2341" s="15">
        <f>4.92-0.202-2.798+0.915-0.436-0.396</f>
        <v>2.0030000000000001</v>
      </c>
    </row>
    <row r="2342" spans="1:5" x14ac:dyDescent="0.3">
      <c r="A2342" s="8">
        <v>146</v>
      </c>
      <c r="B2342" s="8">
        <v>36</v>
      </c>
      <c r="C2342" s="8" t="s">
        <v>30</v>
      </c>
      <c r="D2342" s="8" t="s">
        <v>1</v>
      </c>
      <c r="E2342" s="9">
        <v>5</v>
      </c>
    </row>
    <row r="2343" spans="1:5" x14ac:dyDescent="0.3">
      <c r="A2343" s="8">
        <v>146</v>
      </c>
      <c r="B2343" s="8">
        <v>36</v>
      </c>
      <c r="C2343" s="8" t="s">
        <v>106</v>
      </c>
      <c r="D2343" s="8" t="s">
        <v>1</v>
      </c>
      <c r="E2343" s="9">
        <f>4.87-0.825-0.496-0.968-0.387-0.598</f>
        <v>1.5960000000000001</v>
      </c>
    </row>
    <row r="2344" spans="1:5" x14ac:dyDescent="0.3">
      <c r="A2344" s="10">
        <v>146</v>
      </c>
      <c r="B2344" s="10">
        <v>38</v>
      </c>
      <c r="C2344" s="10" t="s">
        <v>144</v>
      </c>
      <c r="D2344" s="10" t="s">
        <v>1</v>
      </c>
      <c r="E2344" s="15">
        <f>6.237-1.044</f>
        <v>5.1929999999999996</v>
      </c>
    </row>
    <row r="2345" spans="1:5" x14ac:dyDescent="0.3">
      <c r="A2345" s="10">
        <v>146</v>
      </c>
      <c r="B2345" s="10">
        <v>38</v>
      </c>
      <c r="C2345" s="10" t="s">
        <v>30</v>
      </c>
      <c r="D2345" s="10" t="s">
        <v>1</v>
      </c>
      <c r="E2345" s="15">
        <v>5.07</v>
      </c>
    </row>
    <row r="2346" spans="1:5" x14ac:dyDescent="0.3">
      <c r="A2346" s="8">
        <v>146</v>
      </c>
      <c r="B2346" s="8">
        <v>40</v>
      </c>
      <c r="C2346" s="8">
        <v>45</v>
      </c>
      <c r="D2346" s="8" t="s">
        <v>1</v>
      </c>
      <c r="E2346" s="9">
        <v>5</v>
      </c>
    </row>
    <row r="2347" spans="1:5" x14ac:dyDescent="0.3">
      <c r="A2347" s="10">
        <v>146</v>
      </c>
      <c r="B2347" s="10">
        <v>40</v>
      </c>
      <c r="C2347" s="10" t="s">
        <v>28</v>
      </c>
      <c r="D2347" s="10" t="s">
        <v>1</v>
      </c>
      <c r="E2347" s="15">
        <f>4.986+0.618-0.674</f>
        <v>4.93</v>
      </c>
    </row>
    <row r="2348" spans="1:5" x14ac:dyDescent="0.3">
      <c r="A2348" s="8">
        <v>146</v>
      </c>
      <c r="B2348" s="8">
        <v>40</v>
      </c>
      <c r="C2348" s="8" t="s">
        <v>30</v>
      </c>
      <c r="D2348" s="8" t="s">
        <v>1</v>
      </c>
      <c r="E2348" s="9">
        <v>5</v>
      </c>
    </row>
    <row r="2349" spans="1:5" x14ac:dyDescent="0.3">
      <c r="A2349" s="8">
        <v>152</v>
      </c>
      <c r="B2349" s="8">
        <v>6</v>
      </c>
      <c r="C2349" s="8">
        <v>20</v>
      </c>
      <c r="D2349" s="8" t="s">
        <v>1</v>
      </c>
      <c r="E2349" s="9">
        <v>5</v>
      </c>
    </row>
    <row r="2350" spans="1:5" x14ac:dyDescent="0.3">
      <c r="A2350" s="8">
        <v>152</v>
      </c>
      <c r="B2350" s="8">
        <v>6</v>
      </c>
      <c r="C2350" s="8" t="s">
        <v>29</v>
      </c>
      <c r="D2350" s="8" t="s">
        <v>3</v>
      </c>
      <c r="E2350" s="9">
        <f>0.676-0.169-0.037-0.17-0.17-0.011-0.008-0.028-0.008</f>
        <v>7.5000000000000039E-2</v>
      </c>
    </row>
    <row r="2351" spans="1:5" x14ac:dyDescent="0.3">
      <c r="A2351" s="8">
        <v>152</v>
      </c>
      <c r="B2351" s="8">
        <v>8</v>
      </c>
      <c r="C2351" s="8">
        <v>20</v>
      </c>
      <c r="D2351" s="8" t="s">
        <v>1</v>
      </c>
      <c r="E2351" s="9">
        <v>5</v>
      </c>
    </row>
    <row r="2352" spans="1:5" x14ac:dyDescent="0.3">
      <c r="A2352" s="8">
        <v>152</v>
      </c>
      <c r="B2352" s="8">
        <v>8</v>
      </c>
      <c r="C2352" s="8" t="s">
        <v>30</v>
      </c>
      <c r="D2352" s="8" t="s">
        <v>1</v>
      </c>
      <c r="E2352" s="9">
        <v>5</v>
      </c>
    </row>
    <row r="2353" spans="1:5" x14ac:dyDescent="0.3">
      <c r="A2353" s="8">
        <v>152</v>
      </c>
      <c r="B2353" s="8">
        <v>10</v>
      </c>
      <c r="C2353" s="8">
        <v>20</v>
      </c>
      <c r="D2353" s="8" t="s">
        <v>1</v>
      </c>
      <c r="E2353" s="9">
        <v>5</v>
      </c>
    </row>
    <row r="2354" spans="1:5" x14ac:dyDescent="0.3">
      <c r="A2354" s="8">
        <v>152</v>
      </c>
      <c r="B2354" s="8">
        <v>10</v>
      </c>
      <c r="C2354" s="8">
        <v>45</v>
      </c>
      <c r="D2354" s="8" t="s">
        <v>1</v>
      </c>
      <c r="E2354" s="9">
        <f>2.89-0.039-0.368-0.039-0.29-0.076-0.385-0.061-0.013-0.015-0.076-0.039</f>
        <v>1.4890000000000001</v>
      </c>
    </row>
    <row r="2355" spans="1:5" x14ac:dyDescent="0.3">
      <c r="A2355" s="10">
        <v>152</v>
      </c>
      <c r="B2355" s="10">
        <v>10</v>
      </c>
      <c r="C2355" s="10" t="s">
        <v>28</v>
      </c>
      <c r="D2355" s="10" t="s">
        <v>1</v>
      </c>
      <c r="E2355" s="15">
        <f>4.8-1.41-0.045-0.043-0.06</f>
        <v>3.2419999999999995</v>
      </c>
    </row>
    <row r="2356" spans="1:5" x14ac:dyDescent="0.3">
      <c r="A2356" s="10">
        <v>152</v>
      </c>
      <c r="B2356" s="10">
        <v>10</v>
      </c>
      <c r="C2356" s="10" t="s">
        <v>30</v>
      </c>
      <c r="D2356" s="10" t="s">
        <v>1</v>
      </c>
      <c r="E2356" s="15">
        <f>5.24-0.038-0.812</f>
        <v>4.3899999999999997</v>
      </c>
    </row>
    <row r="2357" spans="1:5" x14ac:dyDescent="0.3">
      <c r="A2357" s="8">
        <v>152</v>
      </c>
      <c r="B2357" s="8">
        <v>12</v>
      </c>
      <c r="C2357" s="8">
        <v>20</v>
      </c>
      <c r="D2357" s="8" t="s">
        <v>1</v>
      </c>
      <c r="E2357" s="9">
        <v>5</v>
      </c>
    </row>
    <row r="2358" spans="1:5" x14ac:dyDescent="0.3">
      <c r="A2358" s="8">
        <v>152</v>
      </c>
      <c r="B2358" s="8">
        <v>12</v>
      </c>
      <c r="C2358" s="8" t="s">
        <v>26</v>
      </c>
      <c r="D2358" s="8" t="s">
        <v>64</v>
      </c>
      <c r="E2358" s="9">
        <f>5.2-0.253-0.049-0.073-0.762-0.044-0.085-0.045-0.044-0.132-0.086-0.045-0.012-0.146-0.108-0.026-0.061-0.252-0.007-0.044</f>
        <v>2.9259999999999993</v>
      </c>
    </row>
    <row r="2359" spans="1:5" x14ac:dyDescent="0.3">
      <c r="A2359" s="8">
        <v>152</v>
      </c>
      <c r="B2359" s="8">
        <v>12</v>
      </c>
      <c r="C2359" s="8">
        <v>45</v>
      </c>
      <c r="D2359" s="8" t="s">
        <v>1</v>
      </c>
      <c r="E2359" s="9">
        <v>5</v>
      </c>
    </row>
    <row r="2360" spans="1:5" x14ac:dyDescent="0.3">
      <c r="A2360" s="10">
        <v>152</v>
      </c>
      <c r="B2360" s="10">
        <v>12</v>
      </c>
      <c r="C2360" s="10" t="s">
        <v>30</v>
      </c>
      <c r="D2360" s="10" t="s">
        <v>1</v>
      </c>
      <c r="E2360" s="15">
        <v>5.31</v>
      </c>
    </row>
    <row r="2361" spans="1:5" x14ac:dyDescent="0.3">
      <c r="A2361" s="10">
        <v>152</v>
      </c>
      <c r="B2361" s="10">
        <v>13</v>
      </c>
      <c r="C2361" s="10" t="s">
        <v>118</v>
      </c>
      <c r="D2361" s="10" t="s">
        <v>1</v>
      </c>
      <c r="E2361" s="15">
        <f>3.26-0.138</f>
        <v>3.1219999999999999</v>
      </c>
    </row>
    <row r="2362" spans="1:5" x14ac:dyDescent="0.3">
      <c r="A2362" s="8">
        <v>152</v>
      </c>
      <c r="B2362" s="8">
        <v>14</v>
      </c>
      <c r="C2362" s="8">
        <v>20</v>
      </c>
      <c r="D2362" s="8" t="s">
        <v>1</v>
      </c>
      <c r="E2362" s="9">
        <v>5</v>
      </c>
    </row>
    <row r="2363" spans="1:5" x14ac:dyDescent="0.3">
      <c r="A2363" s="8">
        <v>152</v>
      </c>
      <c r="B2363" s="8">
        <v>14</v>
      </c>
      <c r="C2363" s="8" t="s">
        <v>26</v>
      </c>
      <c r="D2363" s="8" t="s">
        <v>64</v>
      </c>
      <c r="E2363" s="9">
        <f>4.97+0.45-0.486-0.074-0.04-1.846-0.22-0.007</f>
        <v>2.7469999999999999</v>
      </c>
    </row>
    <row r="2364" spans="1:5" x14ac:dyDescent="0.3">
      <c r="A2364" s="10">
        <v>152</v>
      </c>
      <c r="B2364" s="10">
        <v>14</v>
      </c>
      <c r="C2364" s="10" t="s">
        <v>28</v>
      </c>
      <c r="D2364" s="10" t="s">
        <v>1</v>
      </c>
      <c r="E2364" s="15">
        <f>4.846-0.113-1.518-0.108-0.051-2.944</f>
        <v>0.11199999999999966</v>
      </c>
    </row>
    <row r="2365" spans="1:5" x14ac:dyDescent="0.3">
      <c r="A2365" s="10">
        <v>152</v>
      </c>
      <c r="B2365" s="10">
        <v>14</v>
      </c>
      <c r="C2365" s="10" t="s">
        <v>30</v>
      </c>
      <c r="D2365" s="10" t="s">
        <v>1</v>
      </c>
      <c r="E2365" s="15">
        <f>5.435-0.098-0.147-0.426-0.841-0.172</f>
        <v>3.750999999999999</v>
      </c>
    </row>
    <row r="2366" spans="1:5" x14ac:dyDescent="0.3">
      <c r="A2366" s="10">
        <v>152</v>
      </c>
      <c r="B2366" s="10">
        <v>16</v>
      </c>
      <c r="C2366" s="10">
        <v>20</v>
      </c>
      <c r="D2366" s="10" t="s">
        <v>1</v>
      </c>
      <c r="E2366" s="15">
        <f>2.184-0.048-0.055-0.067-0.057-0.256-0.057-0.057-0.044-0.057-0.057-0.057-0.057-0.027-0.03-0.011-0.015-0.03-0.085-0.116</f>
        <v>1.0010000000000003</v>
      </c>
    </row>
    <row r="2367" spans="1:5" x14ac:dyDescent="0.3">
      <c r="A2367" s="8">
        <v>152</v>
      </c>
      <c r="B2367" s="8">
        <v>16</v>
      </c>
      <c r="C2367" s="8" t="s">
        <v>26</v>
      </c>
      <c r="D2367" s="8" t="s">
        <v>64</v>
      </c>
      <c r="E2367" s="9">
        <v>5</v>
      </c>
    </row>
    <row r="2368" spans="1:5" x14ac:dyDescent="0.3">
      <c r="A2368" s="8">
        <v>152</v>
      </c>
      <c r="B2368" s="8">
        <v>16</v>
      </c>
      <c r="C2368" s="8">
        <v>35</v>
      </c>
      <c r="D2368" s="8" t="s">
        <v>1</v>
      </c>
      <c r="E2368" s="9">
        <v>5</v>
      </c>
    </row>
    <row r="2369" spans="1:5" x14ac:dyDescent="0.3">
      <c r="A2369" s="8">
        <v>152</v>
      </c>
      <c r="B2369" s="8">
        <v>16</v>
      </c>
      <c r="C2369" s="8">
        <v>45</v>
      </c>
      <c r="D2369" s="8" t="s">
        <v>1</v>
      </c>
      <c r="E2369" s="9">
        <v>5</v>
      </c>
    </row>
    <row r="2370" spans="1:5" x14ac:dyDescent="0.3">
      <c r="A2370" s="10">
        <v>152</v>
      </c>
      <c r="B2370" s="10">
        <v>16</v>
      </c>
      <c r="C2370" s="10" t="s">
        <v>28</v>
      </c>
      <c r="D2370" s="10" t="s">
        <v>1</v>
      </c>
      <c r="E2370" s="15">
        <f>2.535+4.645-1.297-0.018-0.058-0.22-0.057-0.434-0.058-0.058-0.027-0.131-0.19-0.111-0.058</f>
        <v>4.4630000000000001</v>
      </c>
    </row>
    <row r="2371" spans="1:5" x14ac:dyDescent="0.3">
      <c r="A2371" s="10">
        <v>152</v>
      </c>
      <c r="B2371" s="10">
        <v>16</v>
      </c>
      <c r="C2371" s="10" t="s">
        <v>28</v>
      </c>
      <c r="D2371" s="10" t="s">
        <v>1</v>
      </c>
      <c r="E2371" s="15">
        <v>5.8000000000000003E-2</v>
      </c>
    </row>
    <row r="2372" spans="1:5" x14ac:dyDescent="0.3">
      <c r="A2372" s="10">
        <v>152</v>
      </c>
      <c r="B2372" s="10">
        <v>16</v>
      </c>
      <c r="C2372" s="10" t="s">
        <v>30</v>
      </c>
      <c r="D2372" s="10" t="s">
        <v>1</v>
      </c>
      <c r="E2372" s="15">
        <f>7.835-0.218-0.096-0.217-0.114-0.365-0.163-0.138-0.398-0.035-0.139-0.218-0.202-0.038-0.397-0.41-0.352-0.702-0.023-0.016-0.084-0.11-0.243-0.111-2.588</f>
        <v>0.45799999999999885</v>
      </c>
    </row>
    <row r="2373" spans="1:5" x14ac:dyDescent="0.3">
      <c r="A2373" s="10">
        <v>152</v>
      </c>
      <c r="B2373" s="10">
        <v>16</v>
      </c>
      <c r="C2373" s="10" t="s">
        <v>30</v>
      </c>
      <c r="D2373" s="10" t="s">
        <v>1</v>
      </c>
      <c r="E2373" s="15">
        <f>2.9+2.425-0.519-0.495-0.487</f>
        <v>3.823999999999999</v>
      </c>
    </row>
    <row r="2374" spans="1:5" x14ac:dyDescent="0.3">
      <c r="A2374" s="8">
        <v>152</v>
      </c>
      <c r="B2374" s="8">
        <v>18</v>
      </c>
      <c r="C2374" s="8">
        <v>20</v>
      </c>
      <c r="D2374" s="8" t="s">
        <v>1</v>
      </c>
      <c r="E2374" s="9">
        <v>5</v>
      </c>
    </row>
    <row r="2375" spans="1:5" x14ac:dyDescent="0.3">
      <c r="A2375" s="8">
        <v>152</v>
      </c>
      <c r="B2375" s="8">
        <v>20</v>
      </c>
      <c r="C2375" s="8">
        <v>20</v>
      </c>
      <c r="D2375" s="8" t="s">
        <v>1</v>
      </c>
      <c r="E2375" s="9">
        <v>5</v>
      </c>
    </row>
    <row r="2376" spans="1:5" x14ac:dyDescent="0.3">
      <c r="A2376" s="8">
        <v>152</v>
      </c>
      <c r="B2376" s="8">
        <v>20</v>
      </c>
      <c r="C2376" s="8" t="s">
        <v>26</v>
      </c>
      <c r="D2376" s="8" t="s">
        <v>64</v>
      </c>
      <c r="E2376" s="9">
        <v>10</v>
      </c>
    </row>
    <row r="2377" spans="1:5" x14ac:dyDescent="0.3">
      <c r="A2377" s="8">
        <v>152</v>
      </c>
      <c r="B2377" s="8">
        <v>20</v>
      </c>
      <c r="C2377" s="8">
        <v>35</v>
      </c>
      <c r="D2377" s="8" t="s">
        <v>1</v>
      </c>
      <c r="E2377" s="9">
        <v>5</v>
      </c>
    </row>
    <row r="2378" spans="1:5" x14ac:dyDescent="0.3">
      <c r="A2378" s="8">
        <v>152</v>
      </c>
      <c r="B2378" s="8">
        <v>20</v>
      </c>
      <c r="C2378" s="8">
        <v>45</v>
      </c>
      <c r="D2378" s="8" t="s">
        <v>1</v>
      </c>
      <c r="E2378" s="9">
        <v>5</v>
      </c>
    </row>
    <row r="2379" spans="1:5" x14ac:dyDescent="0.3">
      <c r="A2379" s="10">
        <v>152</v>
      </c>
      <c r="B2379" s="10">
        <v>20</v>
      </c>
      <c r="C2379" s="10" t="s">
        <v>28</v>
      </c>
      <c r="D2379" s="10" t="s">
        <v>1</v>
      </c>
      <c r="E2379" s="15">
        <f>2.38+2.32+2.36+2.37-0.137-0.346-0.137-0.069</f>
        <v>8.7409999999999979</v>
      </c>
    </row>
    <row r="2380" spans="1:5" x14ac:dyDescent="0.3">
      <c r="A2380" s="10">
        <v>152</v>
      </c>
      <c r="B2380" s="10">
        <v>20</v>
      </c>
      <c r="C2380" s="10" t="s">
        <v>30</v>
      </c>
      <c r="D2380" s="10" t="s">
        <v>1</v>
      </c>
      <c r="E2380" s="15">
        <f>5.379+5.005-0.159-0.086+1.83-0.205-0.071-0.179-0.104-0.23-0.071-0.695-0.031-0.071-0.667-0.611-4.046-0.084-0.105-0.105-0.42-0.15-0.608-0.267-0.027-0.233-0.835-0.836</f>
        <v>1.3179999999999978</v>
      </c>
    </row>
    <row r="2381" spans="1:5" x14ac:dyDescent="0.3">
      <c r="A2381" s="8">
        <v>152</v>
      </c>
      <c r="B2381" s="8">
        <v>22</v>
      </c>
      <c r="C2381" s="8">
        <v>20</v>
      </c>
      <c r="D2381" s="8" t="s">
        <v>1</v>
      </c>
      <c r="E2381" s="9">
        <v>5</v>
      </c>
    </row>
    <row r="2382" spans="1:5" x14ac:dyDescent="0.3">
      <c r="A2382" s="8">
        <v>152</v>
      </c>
      <c r="B2382" s="8">
        <v>22</v>
      </c>
      <c r="C2382" s="8">
        <v>45</v>
      </c>
      <c r="D2382" s="8" t="s">
        <v>1</v>
      </c>
      <c r="E2382" s="9">
        <v>5</v>
      </c>
    </row>
    <row r="2383" spans="1:5" x14ac:dyDescent="0.3">
      <c r="A2383" s="10">
        <v>152</v>
      </c>
      <c r="B2383" s="10">
        <v>22</v>
      </c>
      <c r="C2383" s="10" t="s">
        <v>36</v>
      </c>
      <c r="D2383" s="10" t="s">
        <v>1</v>
      </c>
      <c r="E2383" s="15">
        <f>7.21-0.181-1.797-4.994-0.06-0.218+0.174-0.075</f>
        <v>5.9000000000000427E-2</v>
      </c>
    </row>
    <row r="2384" spans="1:5" x14ac:dyDescent="0.3">
      <c r="A2384" s="10">
        <v>152</v>
      </c>
      <c r="B2384" s="10">
        <v>22</v>
      </c>
      <c r="C2384" s="10" t="s">
        <v>36</v>
      </c>
      <c r="D2384" s="10" t="s">
        <v>1</v>
      </c>
      <c r="E2384" s="15">
        <f>4.994-0.14-0.075-0.364-0.111-0.497</f>
        <v>3.8070000000000004</v>
      </c>
    </row>
    <row r="2385" spans="1:5" x14ac:dyDescent="0.3">
      <c r="A2385" s="10">
        <v>152</v>
      </c>
      <c r="B2385" s="10">
        <v>22</v>
      </c>
      <c r="C2385" s="10" t="s">
        <v>131</v>
      </c>
      <c r="D2385" s="10" t="s">
        <v>1</v>
      </c>
      <c r="E2385" s="15">
        <f>4.756-0.632-1.631-2.453+0.145</f>
        <v>0.18500000000000047</v>
      </c>
    </row>
    <row r="2386" spans="1:5" x14ac:dyDescent="0.3">
      <c r="A2386" s="10">
        <v>152</v>
      </c>
      <c r="B2386" s="10">
        <v>22</v>
      </c>
      <c r="C2386" s="10" t="s">
        <v>131</v>
      </c>
      <c r="D2386" s="10" t="s">
        <v>1</v>
      </c>
      <c r="E2386" s="15">
        <f>1.631+2.453</f>
        <v>4.0839999999999996</v>
      </c>
    </row>
    <row r="2387" spans="1:5" x14ac:dyDescent="0.3">
      <c r="A2387" s="8">
        <v>152</v>
      </c>
      <c r="B2387" s="8">
        <v>25</v>
      </c>
      <c r="C2387" s="8">
        <v>20</v>
      </c>
      <c r="D2387" s="8" t="s">
        <v>1</v>
      </c>
      <c r="E2387" s="9">
        <v>5</v>
      </c>
    </row>
    <row r="2388" spans="1:5" x14ac:dyDescent="0.3">
      <c r="A2388" s="10">
        <v>152</v>
      </c>
      <c r="B2388" s="10">
        <v>25</v>
      </c>
      <c r="C2388" s="10" t="s">
        <v>26</v>
      </c>
      <c r="D2388" s="10" t="s">
        <v>64</v>
      </c>
      <c r="E2388" s="15">
        <f>8.065-0.044-0.101-0.083-0.121+0.45-0.21-0.458-0.161-0.121-0.206-0.194-0.371-0.012-0.091</f>
        <v>6.3419999999999987</v>
      </c>
    </row>
    <row r="2389" spans="1:5" x14ac:dyDescent="0.3">
      <c r="A2389" s="8">
        <v>152</v>
      </c>
      <c r="B2389" s="8">
        <v>25</v>
      </c>
      <c r="C2389" s="8">
        <v>35</v>
      </c>
      <c r="D2389" s="8" t="s">
        <v>1</v>
      </c>
      <c r="E2389" s="9">
        <v>5</v>
      </c>
    </row>
    <row r="2390" spans="1:5" x14ac:dyDescent="0.3">
      <c r="A2390" s="8">
        <v>152</v>
      </c>
      <c r="B2390" s="8">
        <v>25</v>
      </c>
      <c r="C2390" s="8">
        <v>45</v>
      </c>
      <c r="D2390" s="8" t="s">
        <v>1</v>
      </c>
      <c r="E2390" s="9">
        <v>5</v>
      </c>
    </row>
    <row r="2391" spans="1:5" x14ac:dyDescent="0.3">
      <c r="A2391" s="10">
        <v>152</v>
      </c>
      <c r="B2391" s="10">
        <v>25</v>
      </c>
      <c r="C2391" s="10" t="s">
        <v>28</v>
      </c>
      <c r="D2391" s="10" t="s">
        <v>1</v>
      </c>
      <c r="E2391" s="15">
        <f>2.519-0.067-1.264-0.095-0.63+4.85-0.084-0.391</f>
        <v>4.8380000000000001</v>
      </c>
    </row>
    <row r="2392" spans="1:5" x14ac:dyDescent="0.3">
      <c r="A2392" s="10">
        <v>152</v>
      </c>
      <c r="B2392" s="10">
        <v>25</v>
      </c>
      <c r="C2392" s="10" t="s">
        <v>30</v>
      </c>
      <c r="D2392" s="10" t="s">
        <v>1</v>
      </c>
      <c r="E2392" s="15">
        <f>1.55+2.33-0.161+2.205-0.193-0.446</f>
        <v>5.2850000000000001</v>
      </c>
    </row>
    <row r="2393" spans="1:5" x14ac:dyDescent="0.3">
      <c r="A2393" s="10">
        <v>152</v>
      </c>
      <c r="B2393" s="10">
        <v>28</v>
      </c>
      <c r="C2393" s="10">
        <v>20</v>
      </c>
      <c r="D2393" s="10" t="s">
        <v>1</v>
      </c>
      <c r="E2393" s="15">
        <f>5.485-0.2-0.052-0.262-0.142-0.262-0.045-0.098-0.245-0.288-0.117+4.84-0.142-0.351-0.052-0.048-1.837-3.196-0.096-0.046-2.46-0.019-0.076-0.021-0.012</f>
        <v>0.25800000000000273</v>
      </c>
    </row>
    <row r="2394" spans="1:5" x14ac:dyDescent="0.3">
      <c r="A2394" s="10">
        <v>152</v>
      </c>
      <c r="B2394" s="10">
        <v>28</v>
      </c>
      <c r="C2394" s="10">
        <v>20</v>
      </c>
      <c r="D2394" s="10" t="s">
        <v>1</v>
      </c>
      <c r="E2394" s="15">
        <f>3.196+2.46</f>
        <v>5.6560000000000006</v>
      </c>
    </row>
    <row r="2395" spans="1:5" x14ac:dyDescent="0.3">
      <c r="A2395" s="8">
        <v>152</v>
      </c>
      <c r="B2395" s="8">
        <v>28</v>
      </c>
      <c r="C2395" s="8" t="s">
        <v>26</v>
      </c>
      <c r="D2395" s="8" t="s">
        <v>64</v>
      </c>
      <c r="E2395" s="9">
        <f>4.79-1.048</f>
        <v>3.742</v>
      </c>
    </row>
    <row r="2396" spans="1:5" x14ac:dyDescent="0.3">
      <c r="A2396" s="8">
        <v>152</v>
      </c>
      <c r="B2396" s="8">
        <v>28</v>
      </c>
      <c r="C2396" s="8">
        <v>35</v>
      </c>
      <c r="D2396" s="8" t="s">
        <v>1</v>
      </c>
      <c r="E2396" s="9">
        <v>5</v>
      </c>
    </row>
    <row r="2397" spans="1:5" x14ac:dyDescent="0.3">
      <c r="A2397" s="8">
        <v>152</v>
      </c>
      <c r="B2397" s="8">
        <v>28</v>
      </c>
      <c r="C2397" s="8">
        <v>45</v>
      </c>
      <c r="D2397" s="8" t="s">
        <v>1</v>
      </c>
      <c r="E2397" s="9">
        <v>5</v>
      </c>
    </row>
    <row r="2398" spans="1:5" x14ac:dyDescent="0.3">
      <c r="A2398" s="10">
        <v>152</v>
      </c>
      <c r="B2398" s="10">
        <v>28</v>
      </c>
      <c r="C2398" s="10" t="s">
        <v>28</v>
      </c>
      <c r="D2398" s="10" t="s">
        <v>1</v>
      </c>
      <c r="E2398" s="15">
        <f>5.04+2.525-0.133-0.51+3.963+4.007-0.645-0.092</f>
        <v>14.154999999999999</v>
      </c>
    </row>
    <row r="2399" spans="1:5" x14ac:dyDescent="0.3">
      <c r="A2399" s="8">
        <v>152</v>
      </c>
      <c r="B2399" s="8">
        <v>28</v>
      </c>
      <c r="C2399" s="8" t="s">
        <v>28</v>
      </c>
      <c r="D2399" s="8" t="s">
        <v>1</v>
      </c>
      <c r="E2399" s="15">
        <f>5.045-2.525</f>
        <v>2.52</v>
      </c>
    </row>
    <row r="2400" spans="1:5" x14ac:dyDescent="0.3">
      <c r="A2400" s="10">
        <v>152</v>
      </c>
      <c r="B2400" s="10">
        <v>28</v>
      </c>
      <c r="C2400" s="10" t="s">
        <v>30</v>
      </c>
      <c r="D2400" s="10" t="s">
        <v>1</v>
      </c>
      <c r="E2400" s="15">
        <f>4.89+1.22-0.261</f>
        <v>5.8489999999999993</v>
      </c>
    </row>
    <row r="2401" spans="1:5" x14ac:dyDescent="0.3">
      <c r="A2401" s="8">
        <v>152</v>
      </c>
      <c r="B2401" s="8">
        <v>30</v>
      </c>
      <c r="C2401" s="8">
        <v>20</v>
      </c>
      <c r="D2401" s="8" t="s">
        <v>1</v>
      </c>
      <c r="E2401" s="9">
        <v>5</v>
      </c>
    </row>
    <row r="2402" spans="1:5" x14ac:dyDescent="0.3">
      <c r="A2402" s="8">
        <v>152</v>
      </c>
      <c r="B2402" s="8">
        <v>30</v>
      </c>
      <c r="C2402" s="8" t="s">
        <v>26</v>
      </c>
      <c r="D2402" s="8" t="s">
        <v>64</v>
      </c>
      <c r="E2402" s="9">
        <f>4.65-0.518-0.277-0.11-0.51-0.515</f>
        <v>2.72</v>
      </c>
    </row>
    <row r="2403" spans="1:5" x14ac:dyDescent="0.3">
      <c r="A2403" s="10">
        <v>152</v>
      </c>
      <c r="B2403" s="10">
        <v>30</v>
      </c>
      <c r="C2403" s="10" t="s">
        <v>21</v>
      </c>
      <c r="D2403" s="10" t="s">
        <v>1</v>
      </c>
      <c r="E2403" s="15">
        <f>3.94-0.113-0.096</f>
        <v>3.7309999999999999</v>
      </c>
    </row>
    <row r="2404" spans="1:5" x14ac:dyDescent="0.3">
      <c r="A2404" s="10">
        <v>152</v>
      </c>
      <c r="B2404" s="10">
        <v>30</v>
      </c>
      <c r="C2404" s="10" t="s">
        <v>28</v>
      </c>
      <c r="D2404" s="10" t="s">
        <v>1</v>
      </c>
      <c r="E2404" s="15">
        <f>2.47+2.46+2.47-0.864-3.475-0.316</f>
        <v>2.7450000000000006</v>
      </c>
    </row>
    <row r="2405" spans="1:5" x14ac:dyDescent="0.3">
      <c r="A2405" s="10">
        <v>152</v>
      </c>
      <c r="B2405" s="10">
        <v>30</v>
      </c>
      <c r="C2405" s="10" t="s">
        <v>30</v>
      </c>
      <c r="D2405" s="10" t="s">
        <v>1</v>
      </c>
      <c r="E2405" s="15">
        <f>4.875-0.186-0.094-0.635-0.186-0.088-0.029-0.057-0.389+0.163-0.186-0.033-0.629</f>
        <v>2.5260000000000002</v>
      </c>
    </row>
    <row r="2406" spans="1:5" x14ac:dyDescent="0.3">
      <c r="A2406" s="8">
        <v>152</v>
      </c>
      <c r="B2406" s="8">
        <v>32</v>
      </c>
      <c r="C2406" s="8">
        <v>20</v>
      </c>
      <c r="D2406" s="8" t="s">
        <v>1</v>
      </c>
      <c r="E2406" s="9">
        <v>5</v>
      </c>
    </row>
    <row r="2407" spans="1:5" x14ac:dyDescent="0.3">
      <c r="A2407" s="8">
        <v>152</v>
      </c>
      <c r="B2407" s="8">
        <v>32</v>
      </c>
      <c r="C2407" s="8">
        <v>35</v>
      </c>
      <c r="D2407" s="8" t="s">
        <v>1</v>
      </c>
      <c r="E2407" s="9">
        <v>5</v>
      </c>
    </row>
    <row r="2408" spans="1:5" x14ac:dyDescent="0.3">
      <c r="A2408" s="8">
        <v>152</v>
      </c>
      <c r="B2408" s="8">
        <v>32</v>
      </c>
      <c r="C2408" s="8">
        <v>45</v>
      </c>
      <c r="D2408" s="8" t="s">
        <v>1</v>
      </c>
      <c r="E2408" s="9">
        <v>5</v>
      </c>
    </row>
    <row r="2409" spans="1:5" x14ac:dyDescent="0.3">
      <c r="A2409" s="10">
        <v>152</v>
      </c>
      <c r="B2409" s="10">
        <v>32</v>
      </c>
      <c r="C2409" s="10" t="s">
        <v>28</v>
      </c>
      <c r="D2409" s="10" t="s">
        <v>1</v>
      </c>
      <c r="E2409" s="15">
        <f>1.66+6.02</f>
        <v>7.68</v>
      </c>
    </row>
    <row r="2410" spans="1:5" x14ac:dyDescent="0.3">
      <c r="A2410" s="10">
        <v>152</v>
      </c>
      <c r="B2410" s="10">
        <v>32</v>
      </c>
      <c r="C2410" s="10" t="s">
        <v>95</v>
      </c>
      <c r="D2410" s="10" t="s">
        <v>1</v>
      </c>
      <c r="E2410" s="15">
        <f>4.26-1.845-0.562</f>
        <v>1.853</v>
      </c>
    </row>
    <row r="2411" spans="1:5" x14ac:dyDescent="0.3">
      <c r="A2411" s="10">
        <v>152</v>
      </c>
      <c r="B2411" s="10">
        <v>32</v>
      </c>
      <c r="C2411" s="10" t="s">
        <v>95</v>
      </c>
      <c r="D2411" s="10" t="s">
        <v>1</v>
      </c>
      <c r="E2411" s="15">
        <f>5-4.26</f>
        <v>0.74000000000000021</v>
      </c>
    </row>
    <row r="2412" spans="1:5" x14ac:dyDescent="0.3">
      <c r="A2412" s="10">
        <v>152</v>
      </c>
      <c r="B2412" s="10">
        <v>32</v>
      </c>
      <c r="C2412" s="10" t="s">
        <v>30</v>
      </c>
      <c r="D2412" s="10" t="s">
        <v>1</v>
      </c>
      <c r="E2412" s="15">
        <f>7.925-0.029-0.551-0.288-0.065-0.136-0.126-0.559-0.27-0.974-0.288-0.097-0.241-0.551-0.382-0.259-0.154-0.1-0.383-0.645-0.1-0.095-1.525-0.053</f>
        <v>5.3999999999997321E-2</v>
      </c>
    </row>
    <row r="2413" spans="1:5" x14ac:dyDescent="0.3">
      <c r="A2413" s="10">
        <v>152</v>
      </c>
      <c r="B2413" s="10">
        <v>32</v>
      </c>
      <c r="C2413" s="10" t="s">
        <v>30</v>
      </c>
      <c r="D2413" s="10" t="s">
        <v>1</v>
      </c>
      <c r="E2413" s="15">
        <f>2.52+2.54-0.101-0.068</f>
        <v>4.8910000000000009</v>
      </c>
    </row>
    <row r="2414" spans="1:5" x14ac:dyDescent="0.3">
      <c r="A2414" s="10">
        <v>152</v>
      </c>
      <c r="B2414" s="10">
        <v>32</v>
      </c>
      <c r="C2414" s="10" t="s">
        <v>106</v>
      </c>
      <c r="D2414" s="10" t="s">
        <v>1</v>
      </c>
      <c r="E2414" s="15">
        <f>3.22+2.445</f>
        <v>5.665</v>
      </c>
    </row>
    <row r="2415" spans="1:5" x14ac:dyDescent="0.3">
      <c r="A2415" s="10">
        <v>152</v>
      </c>
      <c r="B2415" s="10">
        <v>34</v>
      </c>
      <c r="C2415" s="10" t="s">
        <v>26</v>
      </c>
      <c r="D2415" s="10" t="s">
        <v>1</v>
      </c>
      <c r="E2415" s="15">
        <f>7.14-0.9-1.82+2.62-0.093-0.236-0.254+8.93-0.174-0.243-0.087-4.594-0.606-0.966-0.073-0.205-0.328-1.212-0.054-0.11-0.154-0.114</f>
        <v>6.4669999999999987</v>
      </c>
    </row>
    <row r="2416" spans="1:5" x14ac:dyDescent="0.3">
      <c r="A2416" s="10">
        <v>152</v>
      </c>
      <c r="B2416" s="10">
        <v>34</v>
      </c>
      <c r="C2416" s="10" t="s">
        <v>26</v>
      </c>
      <c r="D2416" s="10" t="s">
        <v>1</v>
      </c>
      <c r="E2416" s="15">
        <f>4.594-0.106-0.104-0.681-0.929</f>
        <v>2.774</v>
      </c>
    </row>
    <row r="2417" spans="1:5" x14ac:dyDescent="0.3">
      <c r="A2417" s="10">
        <v>152</v>
      </c>
      <c r="B2417" s="10">
        <v>34</v>
      </c>
      <c r="C2417" s="10" t="s">
        <v>28</v>
      </c>
      <c r="D2417" s="10" t="s">
        <v>1</v>
      </c>
      <c r="E2417" s="15">
        <f>2.66+2.66-1.006</f>
        <v>4.3140000000000001</v>
      </c>
    </row>
    <row r="2418" spans="1:5" x14ac:dyDescent="0.3">
      <c r="A2418" s="8">
        <v>152</v>
      </c>
      <c r="B2418" s="8">
        <v>36</v>
      </c>
      <c r="C2418" s="8">
        <v>20</v>
      </c>
      <c r="D2418" s="8" t="s">
        <v>1</v>
      </c>
      <c r="E2418" s="9">
        <v>5</v>
      </c>
    </row>
    <row r="2419" spans="1:5" x14ac:dyDescent="0.3">
      <c r="A2419" s="10">
        <v>152</v>
      </c>
      <c r="B2419" s="10">
        <v>36</v>
      </c>
      <c r="C2419" s="10" t="s">
        <v>26</v>
      </c>
      <c r="D2419" s="10" t="s">
        <v>1</v>
      </c>
      <c r="E2419" s="15">
        <f>4.79-0.275-0.213-0.113-0.317-0.047-0.177-0.256-0.14-0.066-0.108-0.26-0.14-0.14-0.087</f>
        <v>2.4509999999999983</v>
      </c>
    </row>
    <row r="2420" spans="1:5" x14ac:dyDescent="0.3">
      <c r="A2420" s="8">
        <v>152</v>
      </c>
      <c r="B2420" s="8">
        <v>36</v>
      </c>
      <c r="C2420" s="8">
        <v>35</v>
      </c>
      <c r="D2420" s="8" t="s">
        <v>1</v>
      </c>
      <c r="E2420" s="9">
        <v>5</v>
      </c>
    </row>
    <row r="2421" spans="1:5" x14ac:dyDescent="0.3">
      <c r="A2421" s="8">
        <v>152</v>
      </c>
      <c r="B2421" s="8">
        <v>36</v>
      </c>
      <c r="C2421" s="8">
        <v>45</v>
      </c>
      <c r="D2421" s="8" t="s">
        <v>1</v>
      </c>
      <c r="E2421" s="9">
        <v>5</v>
      </c>
    </row>
    <row r="2422" spans="1:5" x14ac:dyDescent="0.3">
      <c r="A2422" s="10">
        <v>152</v>
      </c>
      <c r="B2422" s="10">
        <v>36</v>
      </c>
      <c r="C2422" s="10" t="s">
        <v>28</v>
      </c>
      <c r="D2422" s="10" t="s">
        <v>1</v>
      </c>
      <c r="E2422" s="15">
        <f>4.49+2.685-0.932-0.63-0.293-0.933-0.213-1.617-0.296</f>
        <v>2.2610000000000006</v>
      </c>
    </row>
    <row r="2423" spans="1:5" x14ac:dyDescent="0.3">
      <c r="A2423" s="10">
        <v>152</v>
      </c>
      <c r="B2423" s="10">
        <v>36</v>
      </c>
      <c r="C2423" s="10" t="s">
        <v>30</v>
      </c>
      <c r="D2423" s="10" t="s">
        <v>1</v>
      </c>
      <c r="E2423" s="15">
        <f>7-0.271-0.539-0.055</f>
        <v>6.1350000000000007</v>
      </c>
    </row>
    <row r="2424" spans="1:5" x14ac:dyDescent="0.3">
      <c r="A2424" s="8">
        <v>152</v>
      </c>
      <c r="B2424" s="8">
        <v>40</v>
      </c>
      <c r="C2424" s="8">
        <v>20</v>
      </c>
      <c r="D2424" s="8" t="s">
        <v>1</v>
      </c>
      <c r="E2424" s="9">
        <v>5</v>
      </c>
    </row>
    <row r="2425" spans="1:5" x14ac:dyDescent="0.3">
      <c r="A2425" s="8">
        <v>152</v>
      </c>
      <c r="B2425" s="8">
        <v>40</v>
      </c>
      <c r="C2425" s="8">
        <v>45</v>
      </c>
      <c r="D2425" s="8" t="s">
        <v>1</v>
      </c>
      <c r="E2425" s="9">
        <v>5</v>
      </c>
    </row>
    <row r="2426" spans="1:5" x14ac:dyDescent="0.3">
      <c r="A2426" s="10">
        <v>152</v>
      </c>
      <c r="B2426" s="10">
        <v>40</v>
      </c>
      <c r="C2426" s="10" t="s">
        <v>28</v>
      </c>
      <c r="D2426" s="10" t="s">
        <v>1</v>
      </c>
      <c r="E2426" s="15">
        <f>2.69+2.69-0.361-0.361-0.27</f>
        <v>4.3879999999999999</v>
      </c>
    </row>
    <row r="2427" spans="1:5" x14ac:dyDescent="0.3">
      <c r="A2427" s="8">
        <v>152</v>
      </c>
      <c r="B2427" s="8">
        <v>40</v>
      </c>
      <c r="C2427" s="8" t="s">
        <v>30</v>
      </c>
      <c r="D2427" s="8" t="s">
        <v>1</v>
      </c>
      <c r="E2427" s="9">
        <v>5</v>
      </c>
    </row>
    <row r="2428" spans="1:5" x14ac:dyDescent="0.3">
      <c r="A2428" s="8">
        <v>152</v>
      </c>
      <c r="B2428" s="8">
        <v>45</v>
      </c>
      <c r="C2428" s="8">
        <v>20</v>
      </c>
      <c r="D2428" s="8" t="s">
        <v>1</v>
      </c>
      <c r="E2428" s="9">
        <v>5</v>
      </c>
    </row>
    <row r="2429" spans="1:5" x14ac:dyDescent="0.3">
      <c r="A2429" s="8">
        <v>152</v>
      </c>
      <c r="B2429" s="8">
        <v>45</v>
      </c>
      <c r="C2429" s="8">
        <v>45</v>
      </c>
      <c r="D2429" s="8" t="s">
        <v>1</v>
      </c>
      <c r="E2429" s="9">
        <v>5</v>
      </c>
    </row>
    <row r="2430" spans="1:5" x14ac:dyDescent="0.3">
      <c r="A2430" s="10">
        <v>152</v>
      </c>
      <c r="B2430" s="10">
        <v>45</v>
      </c>
      <c r="C2430" s="10" t="s">
        <v>28</v>
      </c>
      <c r="D2430" s="10" t="s">
        <v>1</v>
      </c>
      <c r="E2430" s="15">
        <f>5.331-0.054</f>
        <v>5.2770000000000001</v>
      </c>
    </row>
    <row r="2431" spans="1:5" x14ac:dyDescent="0.3">
      <c r="A2431" s="10">
        <v>159</v>
      </c>
      <c r="B2431" s="10">
        <v>3</v>
      </c>
      <c r="C2431" s="10" t="s">
        <v>34</v>
      </c>
      <c r="D2431" s="10" t="s">
        <v>60</v>
      </c>
      <c r="E2431" s="15">
        <f>0.363-0.013</f>
        <v>0.35</v>
      </c>
    </row>
    <row r="2432" spans="1:5" x14ac:dyDescent="0.3">
      <c r="A2432" s="10">
        <v>159</v>
      </c>
      <c r="B2432" s="10">
        <v>3</v>
      </c>
      <c r="C2432" s="10">
        <v>20</v>
      </c>
      <c r="D2432" s="10" t="s">
        <v>7</v>
      </c>
      <c r="E2432" s="15">
        <v>1.55</v>
      </c>
    </row>
    <row r="2433" spans="1:5" x14ac:dyDescent="0.3">
      <c r="A2433" s="10">
        <v>159</v>
      </c>
      <c r="B2433" s="10">
        <v>3.5</v>
      </c>
      <c r="C2433" s="10">
        <v>20</v>
      </c>
      <c r="D2433" s="10" t="s">
        <v>7</v>
      </c>
      <c r="E2433" s="15">
        <f>1.258-0.003-0.032-0.029</f>
        <v>1.1940000000000002</v>
      </c>
    </row>
    <row r="2434" spans="1:5" x14ac:dyDescent="0.3">
      <c r="A2434" s="10">
        <v>159</v>
      </c>
      <c r="B2434" s="10">
        <v>4</v>
      </c>
      <c r="C2434" s="10" t="s">
        <v>26</v>
      </c>
      <c r="D2434" s="10" t="s">
        <v>7</v>
      </c>
      <c r="E2434" s="15">
        <f>0.931-0.007-0.01</f>
        <v>0.91400000000000003</v>
      </c>
    </row>
    <row r="2435" spans="1:5" x14ac:dyDescent="0.3">
      <c r="A2435" s="10">
        <v>159</v>
      </c>
      <c r="B2435" s="10">
        <v>4.5</v>
      </c>
      <c r="C2435" s="10">
        <v>20</v>
      </c>
      <c r="D2435" s="10" t="s">
        <v>1</v>
      </c>
      <c r="E2435" s="15">
        <f>0.195-0.027-0.036-0.013-0.054-0.006-0.033-0.009-0.007-0.004+0.012+4.258-0.019-0.072+1.02-0.006-0.019-0.012-0.033-0.055-0.006-0.006-0.29-0.016-0.013-0.01-0.007-0.07-0.007-0.055-0.028-0.022-0.072-0.049-0.024-0.009-0.028-0.019-0.055-0.065-0.004-0.036-0.023-0.072-0.059-0.019-0.064-0.037-0.008-0.012-0.067-0.064-0.019-0.072-0.012-0.046-0.081</f>
        <v>3.5340000000000007</v>
      </c>
    </row>
    <row r="2436" spans="1:5" x14ac:dyDescent="0.3">
      <c r="A2436" s="8">
        <v>159</v>
      </c>
      <c r="B2436" s="8">
        <v>4.5</v>
      </c>
      <c r="C2436" s="8" t="s">
        <v>39</v>
      </c>
      <c r="D2436" s="8" t="s">
        <v>1</v>
      </c>
      <c r="E2436" s="9">
        <v>0.14599999999999999</v>
      </c>
    </row>
    <row r="2437" spans="1:5" x14ac:dyDescent="0.3">
      <c r="A2437" s="10">
        <v>159</v>
      </c>
      <c r="B2437" s="10">
        <v>4.5</v>
      </c>
      <c r="C2437" s="10" t="s">
        <v>26</v>
      </c>
      <c r="D2437" s="10" t="s">
        <v>1</v>
      </c>
      <c r="E2437" s="15">
        <f>2.03-0.099+0.428-0.006-0.024-0.045-0.025-0.092-0.028-0.056-0.035-0.056-0.007-1.17-0.092-0.02-0.155-0.039-0.023-0.028-0.005+2.96-0.01-0.02-0.02-0.012+5.592-0.009-0.02-0.101-0.336-0.038</f>
        <v>8.4389999999999983</v>
      </c>
    </row>
    <row r="2438" spans="1:5" x14ac:dyDescent="0.3">
      <c r="A2438" s="12">
        <v>159</v>
      </c>
      <c r="B2438" s="12">
        <v>4.5</v>
      </c>
      <c r="C2438" s="12" t="s">
        <v>26</v>
      </c>
      <c r="D2438" s="8" t="s">
        <v>1</v>
      </c>
      <c r="E2438" s="15">
        <v>0.65800000000000003</v>
      </c>
    </row>
    <row r="2439" spans="1:5" x14ac:dyDescent="0.3">
      <c r="A2439" s="10">
        <v>159</v>
      </c>
      <c r="B2439" s="10">
        <v>4.5</v>
      </c>
      <c r="C2439" s="10">
        <v>35</v>
      </c>
      <c r="D2439" s="10" t="s">
        <v>1</v>
      </c>
      <c r="E2439" s="15">
        <f>0.802+1.948-0.064-0.072-0.002-0.031</f>
        <v>2.581</v>
      </c>
    </row>
    <row r="2440" spans="1:5" x14ac:dyDescent="0.3">
      <c r="A2440" s="10">
        <v>159</v>
      </c>
      <c r="B2440" s="10">
        <v>4.5</v>
      </c>
      <c r="C2440" s="10" t="s">
        <v>36</v>
      </c>
      <c r="D2440" s="10" t="s">
        <v>60</v>
      </c>
      <c r="E2440" s="15">
        <v>0.40200000000000002</v>
      </c>
    </row>
    <row r="2441" spans="1:5" x14ac:dyDescent="0.3">
      <c r="A2441" s="10">
        <v>159</v>
      </c>
      <c r="B2441" s="10">
        <v>5</v>
      </c>
      <c r="C2441" s="10">
        <v>20</v>
      </c>
      <c r="D2441" s="10" t="s">
        <v>7</v>
      </c>
      <c r="E2441" s="10">
        <f>0.121-0.041+0.004-0.007-0.021+0.216-0.011-0.046-0.039-0.028-0.041-0.021-0.008-0.031-0.021-0.017-0.008+0.023-0.012</f>
        <v>1.1999999999999955E-2</v>
      </c>
    </row>
    <row r="2442" spans="1:5" x14ac:dyDescent="0.3">
      <c r="A2442" s="10">
        <v>159</v>
      </c>
      <c r="B2442" s="10">
        <v>5</v>
      </c>
      <c r="C2442" s="10">
        <v>20</v>
      </c>
      <c r="D2442" s="10" t="s">
        <v>7</v>
      </c>
      <c r="E2442" s="15">
        <v>0.23</v>
      </c>
    </row>
    <row r="2443" spans="1:5" x14ac:dyDescent="0.3">
      <c r="A2443" s="10">
        <v>159</v>
      </c>
      <c r="B2443" s="10">
        <v>5</v>
      </c>
      <c r="C2443" s="10">
        <v>20</v>
      </c>
      <c r="D2443" s="10" t="s">
        <v>22</v>
      </c>
      <c r="E2443" s="15">
        <f>0.381-0.041</f>
        <v>0.34</v>
      </c>
    </row>
    <row r="2444" spans="1:5" x14ac:dyDescent="0.3">
      <c r="A2444" s="10">
        <v>159</v>
      </c>
      <c r="B2444" s="10">
        <v>5</v>
      </c>
      <c r="C2444" s="10">
        <v>20</v>
      </c>
      <c r="D2444" s="10" t="s">
        <v>1</v>
      </c>
      <c r="E2444" s="15">
        <f>2.26+0.78+1.52-0.009+0.195-0.062+2.03-0.062+0.05-0.061-0.062-0.061-0.011-0.01-0.05-0.082-0.007-0.021-0.01-0.006-0.009-0.102-0.022-0.022-0.389-0.02-0.015-0.011-0.041-0.004-0.025-0.18-0.033-0.052-0.044-0.196-0.003-0.092-0.01-0.003-0.022-0.021-0.027-0.009-0.05</f>
        <v>4.9190000000000005</v>
      </c>
    </row>
    <row r="2445" spans="1:5" x14ac:dyDescent="0.3">
      <c r="A2445" s="10">
        <v>159</v>
      </c>
      <c r="B2445" s="10">
        <v>5</v>
      </c>
      <c r="C2445" s="10" t="s">
        <v>39</v>
      </c>
      <c r="D2445" s="10" t="s">
        <v>1</v>
      </c>
      <c r="E2445" s="15">
        <v>1.6819999999999999</v>
      </c>
    </row>
    <row r="2446" spans="1:5" x14ac:dyDescent="0.3">
      <c r="A2446" s="10">
        <v>159</v>
      </c>
      <c r="B2446" s="10">
        <v>5</v>
      </c>
      <c r="C2446" s="10">
        <v>20</v>
      </c>
      <c r="D2446" s="10" t="s">
        <v>32</v>
      </c>
      <c r="E2446" s="15">
        <f>0.14+4.961+0.143+0.079-0.026-0.036-0.019-0.082</f>
        <v>5.16</v>
      </c>
    </row>
    <row r="2447" spans="1:5" x14ac:dyDescent="0.3">
      <c r="A2447" s="10">
        <v>159</v>
      </c>
      <c r="B2447" s="10">
        <v>5</v>
      </c>
      <c r="C2447" s="8" t="s">
        <v>26</v>
      </c>
      <c r="D2447" s="8" t="s">
        <v>7</v>
      </c>
      <c r="E2447" s="15">
        <f>0.544+0.13+0.45+0.138+0.149-0.009-0.099-0.047-0.087-0.025-0.061-0.014-0.017-0.011-0.231-0.075-0.041-0.019-0.091-0.061-0.02</f>
        <v>0.50300000000000056</v>
      </c>
    </row>
    <row r="2448" spans="1:5" x14ac:dyDescent="0.3">
      <c r="A2448" s="10">
        <v>159</v>
      </c>
      <c r="B2448" s="10">
        <v>5</v>
      </c>
      <c r="C2448" s="10" t="s">
        <v>26</v>
      </c>
      <c r="D2448" s="10" t="s">
        <v>1</v>
      </c>
      <c r="E2448" s="15">
        <f>3.308-0.091-0.027-0.177-0.061-0.013-0.041-0.041+0.018-0.021-0.038-0.005-0.019-0.066-0.022-0.011-0.011-0.009-0.338-0.045-0.062-0.007-0.337-0.023-0.041-0.033-0.021-0.17-0.102-0.004-0.068-0.029-0.008-0.019-0.091-0.004-0.068-0.051-0.012-0.045-0.015-0.077-0.521-0.073-0.012-0.023-0.021-0.021-0.012-0.005+0.355-0.166-0.01-0.018-0.19-0.064-0.022-0.051-0.012-0.021-0.009-0.005-0.174+0.08</f>
        <v>8.0000000000005483E-3</v>
      </c>
    </row>
    <row r="2449" spans="1:5" x14ac:dyDescent="0.3">
      <c r="A2449" s="10">
        <v>159</v>
      </c>
      <c r="B2449" s="10">
        <v>5</v>
      </c>
      <c r="C2449" s="10" t="s">
        <v>26</v>
      </c>
      <c r="D2449" s="10" t="s">
        <v>1</v>
      </c>
      <c r="E2449" s="15">
        <f>3.93+0.555+0.005+0.174-0.012-0.012-0.155-0.012-0.022-0.032-0.081-0.021-0.042-0.031-0.004-0.098-0.172-0.6-0.036-0.042-0.021-0.011-0.062-0.011+0.12-0.047-0.042-0.051-0.395-0.062-0.022-0.133-0.012-0.062-0.062-0.014-0.042+2.016-0.147-0.057-0.062-0.013+0.324-0.136-0.046-0.063-0.063-0.019</f>
        <v>4.0970000000000022</v>
      </c>
    </row>
    <row r="2450" spans="1:5" x14ac:dyDescent="0.3">
      <c r="A2450" s="10">
        <v>159</v>
      </c>
      <c r="B2450" s="10">
        <v>5</v>
      </c>
      <c r="C2450" s="10" t="s">
        <v>28</v>
      </c>
      <c r="D2450" s="10" t="s">
        <v>1</v>
      </c>
      <c r="E2450" s="15">
        <f>1.356+0.364+0.156</f>
        <v>1.8760000000000001</v>
      </c>
    </row>
    <row r="2451" spans="1:5" x14ac:dyDescent="0.3">
      <c r="A2451" s="10">
        <v>159</v>
      </c>
      <c r="B2451" s="10">
        <v>5</v>
      </c>
      <c r="C2451" s="10" t="s">
        <v>95</v>
      </c>
      <c r="D2451" s="10" t="s">
        <v>1</v>
      </c>
      <c r="E2451" s="15">
        <v>1.0289999999999999</v>
      </c>
    </row>
    <row r="2452" spans="1:5" x14ac:dyDescent="0.3">
      <c r="A2452" s="10">
        <v>159</v>
      </c>
      <c r="B2452" s="10">
        <v>5.5</v>
      </c>
      <c r="C2452" s="10" t="s">
        <v>26</v>
      </c>
      <c r="D2452" s="10" t="s">
        <v>64</v>
      </c>
      <c r="E2452" s="15">
        <f>0.2+3.376</f>
        <v>3.5760000000000001</v>
      </c>
    </row>
    <row r="2453" spans="1:5" x14ac:dyDescent="0.3">
      <c r="A2453" s="10">
        <v>159</v>
      </c>
      <c r="B2453" s="10">
        <v>6</v>
      </c>
      <c r="C2453" s="10">
        <v>20</v>
      </c>
      <c r="D2453" s="10" t="s">
        <v>7</v>
      </c>
      <c r="E2453" s="15">
        <f>0.163+0.734+0.35-0.072-0.214-0.061-0.54-0.025-0.092</f>
        <v>0.24299999999999986</v>
      </c>
    </row>
    <row r="2454" spans="1:5" x14ac:dyDescent="0.3">
      <c r="A2454" s="10">
        <v>159</v>
      </c>
      <c r="B2454" s="10">
        <v>6</v>
      </c>
      <c r="C2454" s="10">
        <v>20</v>
      </c>
      <c r="D2454" s="10" t="s">
        <v>7</v>
      </c>
      <c r="E2454" s="15">
        <f>0.54+0.092-0.025-0.059-0.021-0.058+0.181-0.025-0.069+0.307-0.275-0.044-0.061-0.025-0.063-0.025-0.072-0.096-0.084-0.011-0.012</f>
        <v>9.4999999999999876E-2</v>
      </c>
    </row>
    <row r="2455" spans="1:5" x14ac:dyDescent="0.3">
      <c r="A2455" s="10">
        <v>159</v>
      </c>
      <c r="B2455" s="10">
        <v>6</v>
      </c>
      <c r="C2455" s="10">
        <v>20</v>
      </c>
      <c r="D2455" s="10" t="s">
        <v>1</v>
      </c>
      <c r="E2455" s="15">
        <f>0.023-0.006-0.01</f>
        <v>7.000000000000001E-3</v>
      </c>
    </row>
    <row r="2456" spans="1:5" x14ac:dyDescent="0.3">
      <c r="A2456" s="8">
        <v>159</v>
      </c>
      <c r="B2456" s="8">
        <v>6</v>
      </c>
      <c r="C2456" s="8">
        <v>20</v>
      </c>
      <c r="D2456" s="8" t="s">
        <v>1</v>
      </c>
      <c r="E2456" s="15">
        <f>7.725-0.206-0.031-0.026-0.106-0.031-0.074-0.192-0.244-0.048-0.039-0.05-0.016-0.074-0.021-0.038-0.041-0.023-0.063-0.49-0.047-0.02-0.026-0.083-0.025-0.1-0.026-0.009-0.014-0.074-0.064-0.062-0.212-0.163-0.57-0.057-0.018-0.017-0.019-0.011-0.025-0.007-0.005-0.166-0.026-0.023-0.062-0.038-0.062-0.027-0.01-0.02-0.98-0.02-0.005-0.098-0.1-0.026-0.146-0.213-0.013</f>
        <v>2.2230000000000012</v>
      </c>
    </row>
    <row r="2457" spans="1:5" x14ac:dyDescent="0.3">
      <c r="A2457" s="8">
        <v>159</v>
      </c>
      <c r="B2457" s="8">
        <v>6</v>
      </c>
      <c r="C2457" s="8" t="s">
        <v>39</v>
      </c>
      <c r="D2457" s="8" t="s">
        <v>1</v>
      </c>
      <c r="E2457" s="9">
        <f>1.822+0.452+0.162-0.845</f>
        <v>1.591</v>
      </c>
    </row>
    <row r="2458" spans="1:5" x14ac:dyDescent="0.3">
      <c r="A2458" s="8">
        <v>159</v>
      </c>
      <c r="B2458" s="8">
        <v>6</v>
      </c>
      <c r="C2458" s="8" t="s">
        <v>12</v>
      </c>
      <c r="D2458" s="8" t="s">
        <v>32</v>
      </c>
      <c r="E2458" s="9">
        <f>0.538-0.092</f>
        <v>0.44600000000000006</v>
      </c>
    </row>
    <row r="2459" spans="1:5" x14ac:dyDescent="0.3">
      <c r="A2459" s="10">
        <v>159</v>
      </c>
      <c r="B2459" s="10">
        <v>6</v>
      </c>
      <c r="C2459" s="10" t="s">
        <v>26</v>
      </c>
      <c r="D2459" s="10" t="s">
        <v>7</v>
      </c>
      <c r="E2459" s="15">
        <f>2.224-0.143-1.904-0.036-0.046+0.18+1.261-0.094-0.275-0.493-0.182-0.085-0.039-0.178</f>
        <v>0.19000000000000028</v>
      </c>
    </row>
    <row r="2460" spans="1:5" x14ac:dyDescent="0.3">
      <c r="A2460" s="10">
        <v>159</v>
      </c>
      <c r="B2460" s="10">
        <v>6</v>
      </c>
      <c r="C2460" s="8" t="s">
        <v>26</v>
      </c>
      <c r="D2460" s="8" t="s">
        <v>7</v>
      </c>
      <c r="E2460" s="15">
        <f>0.875+0.16+0.528+0.59+0.44-0.383+0.094-0.016-0.079+0.264+0.136-0.025-0.061-1.736-0.011-0.029-0.109-0.114-0.008-0.135-0.072-0.007-0.03-0.096-0.013</f>
        <v>0.16300000000000012</v>
      </c>
    </row>
    <row r="2461" spans="1:5" x14ac:dyDescent="0.3">
      <c r="A2461" s="10">
        <v>159</v>
      </c>
      <c r="B2461" s="10">
        <v>6</v>
      </c>
      <c r="C2461" s="10" t="s">
        <v>26</v>
      </c>
      <c r="D2461" s="10" t="s">
        <v>22</v>
      </c>
      <c r="E2461" s="15">
        <v>0.27200000000000002</v>
      </c>
    </row>
    <row r="2462" spans="1:5" x14ac:dyDescent="0.3">
      <c r="A2462" s="10">
        <v>159</v>
      </c>
      <c r="B2462" s="10">
        <v>6</v>
      </c>
      <c r="C2462" s="10" t="s">
        <v>26</v>
      </c>
      <c r="D2462" s="10" t="s">
        <v>1</v>
      </c>
      <c r="E2462" s="15">
        <f>1.655-0.027+1.097-0.22+1.61+0.655+0.212+0.009-0.015+0.88-0.029-0.083+0.23+0.358-0.029-0.422-0.052-0.097-0.074-0.107-0.083-0.033-0.056-0.045-0.097-0.029-0.029-0.022-0.028-0.029-0.11-0.028-0.056-0.063-0.11-0.28-0.028-0.164-0.063-0.083-0.188-0.03-0.184-0.138-0.695-0.23-0.078-0.018-0.089-0.015-0.041-0.042-0.041-0.019-0.053-0.043-0.11-0.026-0.048-0.029-0.062-0.073-0.015-0.062-0.056-0.064-0.165-0.06-0.029-0.026-0.559-0.047-0.007-0.245-0.029+2.926+1.61-0.015+0.962-0.121-0.02-0.034-0.089-0.025-0.174-0.048-0.022-0.014-0.146-0.159-0.136-0.105-0.099-0.056-0.02-0.029-0.018</f>
        <v>4.6670000000000016</v>
      </c>
    </row>
    <row r="2463" spans="1:5" x14ac:dyDescent="0.3">
      <c r="A2463" s="10">
        <v>159</v>
      </c>
      <c r="B2463" s="10">
        <v>6</v>
      </c>
      <c r="C2463" s="10" t="s">
        <v>52</v>
      </c>
      <c r="D2463" s="10" t="s">
        <v>172</v>
      </c>
      <c r="E2463" s="15">
        <v>0.68799999999999994</v>
      </c>
    </row>
    <row r="2464" spans="1:5" x14ac:dyDescent="0.3">
      <c r="A2464" s="10">
        <v>159</v>
      </c>
      <c r="B2464" s="10">
        <v>6</v>
      </c>
      <c r="C2464" s="10" t="s">
        <v>48</v>
      </c>
      <c r="D2464" s="10" t="s">
        <v>7</v>
      </c>
      <c r="E2464" s="15">
        <f>0.422-0.274+0.152-0.149+0.263</f>
        <v>0.41399999999999992</v>
      </c>
    </row>
    <row r="2465" spans="1:5" x14ac:dyDescent="0.3">
      <c r="A2465" s="10">
        <v>159</v>
      </c>
      <c r="B2465" s="10">
        <v>6</v>
      </c>
      <c r="C2465" s="10" t="s">
        <v>48</v>
      </c>
      <c r="D2465" s="10" t="s">
        <v>127</v>
      </c>
      <c r="E2465" s="15">
        <f>0.206+0.265-0.021</f>
        <v>0.44999999999999996</v>
      </c>
    </row>
    <row r="2466" spans="1:5" x14ac:dyDescent="0.3">
      <c r="A2466" s="10">
        <v>159</v>
      </c>
      <c r="B2466" s="10">
        <v>6</v>
      </c>
      <c r="C2466" s="10">
        <v>45</v>
      </c>
      <c r="D2466" s="10" t="s">
        <v>1</v>
      </c>
      <c r="E2466" s="15">
        <f>6.058-0.025</f>
        <v>6.0329999999999995</v>
      </c>
    </row>
    <row r="2467" spans="1:5" x14ac:dyDescent="0.3">
      <c r="A2467" s="10">
        <v>159</v>
      </c>
      <c r="B2467" s="10">
        <v>6</v>
      </c>
      <c r="C2467" s="10" t="s">
        <v>37</v>
      </c>
      <c r="D2467" s="10" t="s">
        <v>1</v>
      </c>
      <c r="E2467" s="15">
        <f>1.78+0.045-0.013+0.071-0.011-0.022-0.141-1.027-0.008-0.072-0.06-0.048-0.048-0.013-0.048-0.008-0.025-0.02</f>
        <v>0.33200000000000024</v>
      </c>
    </row>
    <row r="2468" spans="1:5" x14ac:dyDescent="0.3">
      <c r="A2468" s="10">
        <v>159</v>
      </c>
      <c r="B2468" s="10">
        <v>6</v>
      </c>
      <c r="C2468" s="10" t="s">
        <v>37</v>
      </c>
      <c r="D2468" s="10" t="s">
        <v>143</v>
      </c>
      <c r="E2468" s="15">
        <f>0.139-0.038</f>
        <v>0.10100000000000001</v>
      </c>
    </row>
    <row r="2469" spans="1:5" x14ac:dyDescent="0.3">
      <c r="A2469" s="10">
        <v>159</v>
      </c>
      <c r="B2469" s="10">
        <v>6</v>
      </c>
      <c r="C2469" s="10" t="s">
        <v>29</v>
      </c>
      <c r="D2469" s="10" t="s">
        <v>3</v>
      </c>
      <c r="E2469" s="15">
        <f>0.23+0.205+2.537-0.013-0.036-0.025-0.036</f>
        <v>2.8620000000000001</v>
      </c>
    </row>
    <row r="2470" spans="1:5" x14ac:dyDescent="0.3">
      <c r="A2470" s="8">
        <v>159</v>
      </c>
      <c r="B2470" s="8">
        <v>7</v>
      </c>
      <c r="C2470" s="13">
        <v>20</v>
      </c>
      <c r="D2470" s="8" t="s">
        <v>1</v>
      </c>
      <c r="E2470" s="9">
        <f>0.93+0.008+4.2+0.24+0.132-0.016-0.029-0.024-0.029-0.24-0.04-0.055-0.082-0.013-0.008-0.041-0.031-0.011-0.055-0.02-0.042-0.041-0.162-0.05-0.029</f>
        <v>4.4920000000000009</v>
      </c>
    </row>
    <row r="2471" spans="1:5" x14ac:dyDescent="0.3">
      <c r="A2471" s="12">
        <v>159</v>
      </c>
      <c r="B2471" s="12">
        <v>7</v>
      </c>
      <c r="C2471" s="12" t="s">
        <v>12</v>
      </c>
      <c r="D2471" s="8" t="s">
        <v>32</v>
      </c>
      <c r="E2471" s="15">
        <v>1.5</v>
      </c>
    </row>
    <row r="2472" spans="1:5" x14ac:dyDescent="0.3">
      <c r="A2472" s="10">
        <v>159</v>
      </c>
      <c r="B2472" s="10">
        <v>7</v>
      </c>
      <c r="C2472" s="10" t="s">
        <v>26</v>
      </c>
      <c r="D2472" s="10" t="s">
        <v>7</v>
      </c>
      <c r="E2472" s="15">
        <f>1.233-0.009-0.108-0.055-0.139-0.108</f>
        <v>0.81400000000000017</v>
      </c>
    </row>
    <row r="2473" spans="1:5" x14ac:dyDescent="0.3">
      <c r="A2473" s="10">
        <v>159</v>
      </c>
      <c r="B2473" s="10">
        <v>7</v>
      </c>
      <c r="C2473" s="10" t="s">
        <v>26</v>
      </c>
      <c r="D2473" s="10" t="s">
        <v>1</v>
      </c>
      <c r="E2473" s="15">
        <f>1.47+1.21+3.26+3.725-0.014-0.107-0.053+0.201-0.022-0.087-0.03-0.057-0.057-0.055-0.085-0.019-0.007-0.024-0.044-0.074-0.03-0.03-0.016-0.007-0.037-0.263-0.138-0.163-0.169-0.017</f>
        <v>8.261000000000001</v>
      </c>
    </row>
    <row r="2474" spans="1:5" x14ac:dyDescent="0.3">
      <c r="A2474" s="10">
        <v>159</v>
      </c>
      <c r="B2474" s="10">
        <v>7</v>
      </c>
      <c r="C2474" s="10" t="s">
        <v>48</v>
      </c>
      <c r="D2474" s="10" t="s">
        <v>7</v>
      </c>
      <c r="E2474" s="15">
        <f>0.309-0.067</f>
        <v>0.24199999999999999</v>
      </c>
    </row>
    <row r="2475" spans="1:5" x14ac:dyDescent="0.3">
      <c r="A2475" s="10">
        <v>159</v>
      </c>
      <c r="B2475" s="10">
        <v>7</v>
      </c>
      <c r="C2475" s="10" t="s">
        <v>48</v>
      </c>
      <c r="D2475" s="10" t="s">
        <v>22</v>
      </c>
      <c r="E2475" s="15">
        <v>0.309</v>
      </c>
    </row>
    <row r="2476" spans="1:5" x14ac:dyDescent="0.3">
      <c r="A2476" s="10">
        <v>159</v>
      </c>
      <c r="B2476" s="10">
        <v>7</v>
      </c>
      <c r="C2476" s="10" t="s">
        <v>37</v>
      </c>
      <c r="D2476" s="10" t="s">
        <v>7</v>
      </c>
      <c r="E2476" s="15">
        <f>0.575+0.619</f>
        <v>1.194</v>
      </c>
    </row>
    <row r="2477" spans="1:5" x14ac:dyDescent="0.3">
      <c r="A2477" s="10">
        <v>159</v>
      </c>
      <c r="B2477" s="10">
        <v>7</v>
      </c>
      <c r="C2477" s="10" t="s">
        <v>37</v>
      </c>
      <c r="D2477" s="10" t="s">
        <v>129</v>
      </c>
      <c r="E2477" s="15">
        <f>0.778-0.029</f>
        <v>0.749</v>
      </c>
    </row>
    <row r="2478" spans="1:5" x14ac:dyDescent="0.3">
      <c r="A2478" s="10">
        <v>159</v>
      </c>
      <c r="B2478" s="10">
        <v>7</v>
      </c>
      <c r="C2478" s="10" t="s">
        <v>35</v>
      </c>
      <c r="D2478" s="10" t="s">
        <v>32</v>
      </c>
      <c r="E2478" s="15">
        <v>1.036</v>
      </c>
    </row>
    <row r="2479" spans="1:5" x14ac:dyDescent="0.3">
      <c r="A2479" s="10">
        <v>159</v>
      </c>
      <c r="B2479" s="10">
        <v>7.5</v>
      </c>
      <c r="C2479" s="10" t="s">
        <v>26</v>
      </c>
      <c r="D2479" s="10" t="s">
        <v>64</v>
      </c>
      <c r="E2479" s="15">
        <v>1.1000000000000001</v>
      </c>
    </row>
    <row r="2480" spans="1:5" x14ac:dyDescent="0.3">
      <c r="A2480" s="10">
        <v>159</v>
      </c>
      <c r="B2480" s="10">
        <v>8</v>
      </c>
      <c r="C2480" s="10" t="s">
        <v>58</v>
      </c>
      <c r="D2480" s="10" t="s">
        <v>7</v>
      </c>
      <c r="E2480" s="15">
        <f>0.685-0.032-0.014</f>
        <v>0.63900000000000001</v>
      </c>
    </row>
    <row r="2481" spans="1:5" x14ac:dyDescent="0.3">
      <c r="A2481" s="10">
        <v>159</v>
      </c>
      <c r="B2481" s="10">
        <v>8</v>
      </c>
      <c r="C2481" s="10">
        <v>20</v>
      </c>
      <c r="D2481" s="10" t="s">
        <v>7</v>
      </c>
      <c r="E2481" s="15">
        <f>0.7-0.046-0.071-0.23-0.032-0.034+0.61+0.358-0.068-0.274-0.7-0.028</f>
        <v>0.18499999999999986</v>
      </c>
    </row>
    <row r="2482" spans="1:5" x14ac:dyDescent="0.3">
      <c r="A2482" s="10">
        <v>159</v>
      </c>
      <c r="B2482" s="10">
        <v>8</v>
      </c>
      <c r="C2482" s="10">
        <v>20</v>
      </c>
      <c r="D2482" s="10" t="s">
        <v>1</v>
      </c>
      <c r="E2482" s="15">
        <v>0.125</v>
      </c>
    </row>
    <row r="2483" spans="1:5" x14ac:dyDescent="0.3">
      <c r="A2483" s="10">
        <v>159</v>
      </c>
      <c r="B2483" s="10">
        <v>8</v>
      </c>
      <c r="C2483" s="10">
        <v>20</v>
      </c>
      <c r="D2483" s="10" t="s">
        <v>1</v>
      </c>
      <c r="E2483" s="15">
        <v>0.26200000000000001</v>
      </c>
    </row>
    <row r="2484" spans="1:5" x14ac:dyDescent="0.3">
      <c r="A2484" s="22">
        <v>159</v>
      </c>
      <c r="B2484" s="22">
        <v>8</v>
      </c>
      <c r="C2484" s="22">
        <v>20</v>
      </c>
      <c r="D2484" s="22" t="s">
        <v>1</v>
      </c>
      <c r="E2484" s="18">
        <f>1.816-0.92+0.492+0.256+0.171-0.082-0.028-0.018-0.028-0.097-0.012-0.066-0.304-0.034-0.081-0.034</f>
        <v>1.0309999999999997</v>
      </c>
    </row>
    <row r="2485" spans="1:5" x14ac:dyDescent="0.3">
      <c r="A2485" s="12">
        <v>159</v>
      </c>
      <c r="B2485" s="12">
        <v>8</v>
      </c>
      <c r="C2485" s="12">
        <v>20</v>
      </c>
      <c r="D2485" s="8" t="s">
        <v>1</v>
      </c>
      <c r="E2485" s="15">
        <v>0.17100000000000001</v>
      </c>
    </row>
    <row r="2486" spans="1:5" x14ac:dyDescent="0.3">
      <c r="A2486" s="10">
        <v>159</v>
      </c>
      <c r="B2486" s="10">
        <v>8</v>
      </c>
      <c r="C2486" s="10">
        <v>20</v>
      </c>
      <c r="D2486" s="10" t="s">
        <v>84</v>
      </c>
      <c r="E2486" s="15">
        <v>0.16500000000000001</v>
      </c>
    </row>
    <row r="2487" spans="1:5" x14ac:dyDescent="0.3">
      <c r="A2487" s="10">
        <v>159</v>
      </c>
      <c r="B2487" s="10">
        <v>8</v>
      </c>
      <c r="C2487" s="10" t="s">
        <v>39</v>
      </c>
      <c r="D2487" s="10" t="s">
        <v>1</v>
      </c>
      <c r="E2487" s="15">
        <f>1.054+0.568-0.023-0.023</f>
        <v>1.5760000000000001</v>
      </c>
    </row>
    <row r="2488" spans="1:5" x14ac:dyDescent="0.3">
      <c r="A2488" s="12">
        <v>159</v>
      </c>
      <c r="B2488" s="12">
        <v>8</v>
      </c>
      <c r="C2488" s="12" t="s">
        <v>12</v>
      </c>
      <c r="D2488" s="8" t="s">
        <v>32</v>
      </c>
      <c r="E2488" s="15">
        <f>0.278+1.528</f>
        <v>1.806</v>
      </c>
    </row>
    <row r="2489" spans="1:5" x14ac:dyDescent="0.3">
      <c r="A2489" s="10">
        <v>159</v>
      </c>
      <c r="B2489" s="10">
        <v>8</v>
      </c>
      <c r="C2489" s="10" t="s">
        <v>21</v>
      </c>
      <c r="D2489" s="10" t="s">
        <v>7</v>
      </c>
      <c r="E2489" s="15">
        <f>0.632-0.035-0.041-0.068-0.062</f>
        <v>0.42599999999999993</v>
      </c>
    </row>
    <row r="2490" spans="1:5" x14ac:dyDescent="0.3">
      <c r="A2490" s="10">
        <v>159</v>
      </c>
      <c r="B2490" s="10">
        <v>8</v>
      </c>
      <c r="C2490" s="10" t="s">
        <v>26</v>
      </c>
      <c r="D2490" s="10" t="s">
        <v>7</v>
      </c>
      <c r="E2490" s="15">
        <f>0.848+0.935-0.01-0.009-0.065-0.063-0.033</f>
        <v>1.6030000000000002</v>
      </c>
    </row>
    <row r="2491" spans="1:5" x14ac:dyDescent="0.3">
      <c r="A2491" s="10">
        <v>159</v>
      </c>
      <c r="B2491" s="10">
        <v>8</v>
      </c>
      <c r="C2491" s="10" t="s">
        <v>26</v>
      </c>
      <c r="D2491" s="10" t="s">
        <v>1</v>
      </c>
      <c r="E2491" s="15">
        <f>3.216-0.063-0.032-0.025-0.093-0.291-0.592-0.032-0.032-0.011+0.087-0.093-0.029-0.065-0.093-0.044-0.087-0.065-0.093-0.032-0.133+3.635-0.555-0.602-0.079-0.093+4.12-0.035-0.023-0.093+0.91-0.168-0.312+0.56-0.097+1.389-0.081+0.186-0.011+0.306-0.16-0.009-7.32-0.074-0.306-1.68-0.117-0.577-0.112-0.018+0.018+0.469-0.186</f>
        <v>0.28300000000000164</v>
      </c>
    </row>
    <row r="2492" spans="1:5" x14ac:dyDescent="0.3">
      <c r="A2492" s="10">
        <v>159</v>
      </c>
      <c r="B2492" s="10">
        <v>8</v>
      </c>
      <c r="C2492" s="10" t="s">
        <v>26</v>
      </c>
      <c r="D2492" s="10" t="s">
        <v>1</v>
      </c>
      <c r="E2492" s="15">
        <f>7.32+0.306+1.68+0.577+0.55-0.018-0.018-0.024-0.147-0.084-0.317-0.289+0.065+0.048-0.065-0.034-0.067-0.065-0.129-0.33-0.16-0.034-0.027-0.018-0.188-0.018-0.097-0.034-0.299-0.034-0.066-0.279-0.008-0.033-0.271-0.005-0.012-0.034-0.068-0.014-0.271-0.011-0.097-0.097-0.097-0.015-0.066-0.018-0.12-0.061-0.034-0.028-0.01-0.018-0.008-0.015-0.097-0.014-0.034-0.066-0.082-0.009-0.039-0.098-0.034-0.05-0.024-0.021-0.069-0.129-0.039+0.186-0.025-0.034-0.02-0.018-0.046-0.046-0.113-0.034</f>
        <v>5.3390000000000004</v>
      </c>
    </row>
    <row r="2493" spans="1:5" x14ac:dyDescent="0.3">
      <c r="A2493" s="10">
        <v>159</v>
      </c>
      <c r="B2493" s="10">
        <v>8</v>
      </c>
      <c r="C2493" s="10">
        <v>45</v>
      </c>
      <c r="D2493" s="10" t="s">
        <v>1</v>
      </c>
      <c r="E2493" s="15">
        <f>0.514+4.923-0.019-3.15-0.832</f>
        <v>1.4360000000000004</v>
      </c>
    </row>
    <row r="2494" spans="1:5" x14ac:dyDescent="0.3">
      <c r="A2494" s="10">
        <v>159</v>
      </c>
      <c r="B2494" s="10">
        <v>8</v>
      </c>
      <c r="C2494" s="10" t="s">
        <v>37</v>
      </c>
      <c r="D2494" s="10" t="s">
        <v>7</v>
      </c>
      <c r="E2494" s="15">
        <f>0.256+0.716+1.36+0.172-0.032-0.032-0.014-0.017</f>
        <v>2.4090000000000003</v>
      </c>
    </row>
    <row r="2495" spans="1:5" x14ac:dyDescent="0.3">
      <c r="A2495" s="10">
        <v>159</v>
      </c>
      <c r="B2495" s="10">
        <v>8</v>
      </c>
      <c r="C2495" s="10" t="s">
        <v>36</v>
      </c>
      <c r="D2495" s="10" t="s">
        <v>1</v>
      </c>
      <c r="E2495" s="15">
        <f>5.412-1.013-0.241-0.494-0.014</f>
        <v>3.6500000000000008</v>
      </c>
    </row>
    <row r="2496" spans="1:5" x14ac:dyDescent="0.3">
      <c r="A2496" s="10">
        <v>159</v>
      </c>
      <c r="B2496" s="10">
        <v>8</v>
      </c>
      <c r="C2496" s="10" t="s">
        <v>28</v>
      </c>
      <c r="D2496" s="10" t="s">
        <v>1</v>
      </c>
      <c r="E2496" s="15">
        <f>5.47-0.094-0.033-0.065-0.361-2.1-0.135-0.66-0.186</f>
        <v>1.8359999999999985</v>
      </c>
    </row>
    <row r="2497" spans="1:5" x14ac:dyDescent="0.3">
      <c r="A2497" s="10">
        <v>159</v>
      </c>
      <c r="B2497" s="10">
        <v>9</v>
      </c>
      <c r="C2497" s="10">
        <v>20</v>
      </c>
      <c r="D2497" s="10" t="s">
        <v>22</v>
      </c>
      <c r="E2497" s="15">
        <v>0.39300000000000002</v>
      </c>
    </row>
    <row r="2498" spans="1:5" x14ac:dyDescent="0.3">
      <c r="A2498" s="8">
        <v>159</v>
      </c>
      <c r="B2498" s="8">
        <v>9</v>
      </c>
      <c r="C2498" s="8">
        <v>20</v>
      </c>
      <c r="D2498" s="8" t="s">
        <v>1</v>
      </c>
      <c r="E2498" s="9">
        <f>0.978-0.104-0.227+0.524-0.331</f>
        <v>0.84000000000000008</v>
      </c>
    </row>
    <row r="2499" spans="1:5" x14ac:dyDescent="0.3">
      <c r="A2499" s="12">
        <v>159</v>
      </c>
      <c r="B2499" s="12">
        <v>9</v>
      </c>
      <c r="C2499" s="12">
        <v>20</v>
      </c>
      <c r="D2499" s="8" t="s">
        <v>1</v>
      </c>
      <c r="E2499" s="15">
        <v>2</v>
      </c>
    </row>
    <row r="2500" spans="1:5" x14ac:dyDescent="0.3">
      <c r="A2500" s="10">
        <v>159</v>
      </c>
      <c r="B2500" s="10">
        <v>9</v>
      </c>
      <c r="C2500" s="10" t="s">
        <v>39</v>
      </c>
      <c r="D2500" s="10" t="s">
        <v>176</v>
      </c>
      <c r="E2500" s="15">
        <f>2.512-0.019</f>
        <v>2.4929999999999999</v>
      </c>
    </row>
    <row r="2501" spans="1:5" x14ac:dyDescent="0.3">
      <c r="A2501" s="8">
        <v>159</v>
      </c>
      <c r="B2501" s="8">
        <v>9</v>
      </c>
      <c r="C2501" s="8" t="s">
        <v>12</v>
      </c>
      <c r="D2501" s="8" t="s">
        <v>32</v>
      </c>
      <c r="E2501" s="9">
        <f>3.797+0.291+0.296-0.014</f>
        <v>4.37</v>
      </c>
    </row>
    <row r="2502" spans="1:5" x14ac:dyDescent="0.3">
      <c r="A2502" s="12">
        <v>159</v>
      </c>
      <c r="B2502" s="12">
        <v>9</v>
      </c>
      <c r="C2502" s="12" t="s">
        <v>12</v>
      </c>
      <c r="D2502" s="8" t="s">
        <v>32</v>
      </c>
      <c r="E2502" s="15">
        <f>5-3.797-0.296</f>
        <v>0.90699999999999981</v>
      </c>
    </row>
    <row r="2503" spans="1:5" x14ac:dyDescent="0.3">
      <c r="A2503" s="10">
        <v>159</v>
      </c>
      <c r="B2503" s="10">
        <v>9</v>
      </c>
      <c r="C2503" s="10" t="s">
        <v>26</v>
      </c>
      <c r="D2503" s="10" t="s">
        <v>1</v>
      </c>
      <c r="E2503" s="15">
        <f>0.325+1.36+0.32+7.596+0.566+1.087-0.027-0.12-0.246-0.02-0.142-0.142-0.02-0.211-0.037-2.245-0.176</f>
        <v>7.8680000000000003</v>
      </c>
    </row>
    <row r="2504" spans="1:5" x14ac:dyDescent="0.3">
      <c r="A2504" s="8">
        <v>159</v>
      </c>
      <c r="B2504" s="8">
        <v>9</v>
      </c>
      <c r="C2504" s="8" t="s">
        <v>35</v>
      </c>
      <c r="D2504" s="8" t="s">
        <v>32</v>
      </c>
      <c r="E2504" s="9">
        <f>2.904-1.669+1.346</f>
        <v>2.581</v>
      </c>
    </row>
    <row r="2505" spans="1:5" x14ac:dyDescent="0.3">
      <c r="A2505" s="12">
        <v>159</v>
      </c>
      <c r="B2505" s="12">
        <v>9</v>
      </c>
      <c r="C2505" s="12" t="s">
        <v>35</v>
      </c>
      <c r="D2505" s="8" t="s">
        <v>32</v>
      </c>
      <c r="E2505" s="15">
        <f>5-2.904-1.346</f>
        <v>0.75</v>
      </c>
    </row>
    <row r="2506" spans="1:5" x14ac:dyDescent="0.3">
      <c r="A2506" s="10">
        <v>159</v>
      </c>
      <c r="B2506" s="10">
        <v>10</v>
      </c>
      <c r="C2506" s="10">
        <v>20</v>
      </c>
      <c r="D2506" s="10" t="s">
        <v>1</v>
      </c>
      <c r="E2506" s="15">
        <f>0.95-0.09-0.037-0.058-0.133-0.132+3.814-0.188-0.317-0.039-0.039-0.039+0.008-0.076-0.021-0.46-0.015-0.243-0.076-0.11-0.186+0.166-0.152-0.022-0.036+0.244-0.617-0.009-0.043-0.04-0.105-0.077-0.027-0.043+0.372-0.157-0.021-0.046-0.046-0.3-0.076-0.068-0.305-0.038-0.308-0.039-0.039-0.302-0.219-0.02</f>
        <v>0.13999999999999985</v>
      </c>
    </row>
    <row r="2507" spans="1:5" x14ac:dyDescent="0.3">
      <c r="A2507" s="10">
        <v>159</v>
      </c>
      <c r="B2507" s="10">
        <v>10</v>
      </c>
      <c r="C2507" s="10">
        <v>20</v>
      </c>
      <c r="D2507" s="10" t="s">
        <v>1</v>
      </c>
      <c r="E2507" s="15">
        <f>5.876-0.169-0.1-0.078-0.021+0.69-0.115-0.021-0.035-0.04-0.025-0.116-0.025-0.097-0.04-0.146-0.026-0.04-0.041-0.116-0.116-0.014-0.048-0.044</f>
        <v>5.093</v>
      </c>
    </row>
    <row r="2508" spans="1:5" x14ac:dyDescent="0.3">
      <c r="A2508" s="10">
        <v>159</v>
      </c>
      <c r="B2508" s="10">
        <v>10</v>
      </c>
      <c r="C2508" s="10" t="s">
        <v>39</v>
      </c>
      <c r="D2508" s="10" t="s">
        <v>199</v>
      </c>
      <c r="E2508" s="15">
        <f>1.946+0.322</f>
        <v>2.2679999999999998</v>
      </c>
    </row>
    <row r="2509" spans="1:5" x14ac:dyDescent="0.3">
      <c r="A2509" s="10">
        <v>159</v>
      </c>
      <c r="B2509" s="10">
        <v>10</v>
      </c>
      <c r="C2509" s="10" t="s">
        <v>26</v>
      </c>
      <c r="D2509" s="10" t="s">
        <v>1</v>
      </c>
      <c r="E2509" s="15">
        <f>2.942-0.334-0.408-0.073-0.11-0.267-0.29-0.286+4.888+0.655-0.082-0.04-0.048-0.011-0.017-0.005-0.077-0.135-0.021-0.059+9.325-0.039-0.238+9.42+1.25-0.078-0.059-0.047-0.077-0.078-9.17-0.965-0.054-4.52-9.325-0.01-0.193-0.051-0.827-0.066</f>
        <v>0.41999999999999843</v>
      </c>
    </row>
    <row r="2510" spans="1:5" x14ac:dyDescent="0.3">
      <c r="A2510" s="10">
        <v>159</v>
      </c>
      <c r="B2510" s="10">
        <v>10</v>
      </c>
      <c r="C2510" s="10" t="s">
        <v>26</v>
      </c>
      <c r="D2510" s="10" t="s">
        <v>1</v>
      </c>
      <c r="E2510" s="15">
        <f>9.17+0.965+4.52+9.325+0.615+0.827-0.059-0.04+0.059-0.028-0.021-0.153+0.066-0.021-0.315-0.04-0.075-0.095-0.285-0.043-0.146-0.078-0.16+0.195-0.17-0.04-0.118-0.02-0.007-0.127-0.04-0.04-0.12-0.047-0.021-0.021-0.182-0.058-0.045-0.078-0.031-0.078-0.141-0.085-0.04-0.027-0.222-0.085-0.012-0.334-0.04-0.116-0.078-0.055-0.116-0.059-0.04-0.017-0.135-0.078-0.021-0.097-0.178-0.017-0.116-0.116-0.092-0.213-0.153-0.019-0.014-0.116-0.116-0.025</f>
        <v>19.967000000000006</v>
      </c>
    </row>
    <row r="2511" spans="1:5" x14ac:dyDescent="0.3">
      <c r="A2511" s="10">
        <v>159</v>
      </c>
      <c r="B2511" s="10">
        <v>10</v>
      </c>
      <c r="C2511" s="10">
        <v>35</v>
      </c>
      <c r="D2511" s="10" t="s">
        <v>1</v>
      </c>
      <c r="E2511" s="15">
        <v>4.4400000000000004</v>
      </c>
    </row>
    <row r="2512" spans="1:5" x14ac:dyDescent="0.3">
      <c r="A2512" s="10">
        <v>159</v>
      </c>
      <c r="B2512" s="10">
        <v>10</v>
      </c>
      <c r="C2512" s="10">
        <v>45</v>
      </c>
      <c r="D2512" s="10" t="s">
        <v>1</v>
      </c>
      <c r="E2512" s="15">
        <f>5.132-0.061-0.078</f>
        <v>4.9929999999999994</v>
      </c>
    </row>
    <row r="2513" spans="1:5" x14ac:dyDescent="0.3">
      <c r="A2513" s="10">
        <v>159</v>
      </c>
      <c r="B2513" s="10">
        <v>10</v>
      </c>
      <c r="C2513" s="10" t="s">
        <v>30</v>
      </c>
      <c r="D2513" s="10" t="s">
        <v>1</v>
      </c>
      <c r="E2513" s="15">
        <v>2.7250000000000001</v>
      </c>
    </row>
    <row r="2514" spans="1:5" x14ac:dyDescent="0.3">
      <c r="A2514" s="10">
        <v>159</v>
      </c>
      <c r="B2514" s="10">
        <v>10</v>
      </c>
      <c r="C2514" s="10" t="s">
        <v>30</v>
      </c>
      <c r="D2514" s="10" t="s">
        <v>1</v>
      </c>
      <c r="E2514" s="15">
        <f>5-2.725</f>
        <v>2.2749999999999999</v>
      </c>
    </row>
    <row r="2515" spans="1:5" x14ac:dyDescent="0.3">
      <c r="A2515" s="10">
        <v>159</v>
      </c>
      <c r="B2515" s="10">
        <v>10</v>
      </c>
      <c r="C2515" s="10" t="s">
        <v>177</v>
      </c>
      <c r="D2515" s="10" t="s">
        <v>3</v>
      </c>
      <c r="E2515" s="15">
        <f>0.395-0.021-0.049-0.14</f>
        <v>0.185</v>
      </c>
    </row>
    <row r="2516" spans="1:5" x14ac:dyDescent="0.3">
      <c r="A2516" s="10">
        <v>159</v>
      </c>
      <c r="B2516" s="10">
        <v>12</v>
      </c>
      <c r="C2516" s="10">
        <v>20</v>
      </c>
      <c r="D2516" s="10" t="s">
        <v>1</v>
      </c>
      <c r="E2516" s="15">
        <f>0.39+0.079+1.698-0.042-0.049-0.14-0.037-0.117-0.022-0.117-0.012-0.094-0.095-0.039-0.034-0.026-0.044-0.02-0.063-0.142-0.094-0.108-0.074-0.395-0.108-0.073-0.047-0.071+3.43-0.094-0.29-0.054-0.049-0.163-0.069-0.025+0.36-0.048-0.048-0.072-0.094-0.048-0.03-0.028-0.024-0.049</f>
        <v>2.709000000000001</v>
      </c>
    </row>
    <row r="2517" spans="1:5" x14ac:dyDescent="0.3">
      <c r="A2517" s="10">
        <v>159</v>
      </c>
      <c r="B2517" s="10">
        <v>12</v>
      </c>
      <c r="C2517" s="10">
        <v>20</v>
      </c>
      <c r="D2517" s="10" t="s">
        <v>110</v>
      </c>
      <c r="E2517" s="15">
        <f>0.986-0.035-0.36+0.27-0.069</f>
        <v>0.79200000000000004</v>
      </c>
    </row>
    <row r="2518" spans="1:5" x14ac:dyDescent="0.3">
      <c r="A2518" s="10">
        <v>159</v>
      </c>
      <c r="B2518" s="10">
        <v>12</v>
      </c>
      <c r="C2518" s="10" t="s">
        <v>26</v>
      </c>
      <c r="D2518" s="10" t="s">
        <v>1</v>
      </c>
      <c r="E2518" s="15">
        <f>0.902+0.399-0.453-0.091-0.135-0.025-0.018-0.09+8.7-0.017-0.029-0.048-0.641-0.094-0.14-0.021-0.179-0.049-0.293+0.359-0.612+2.12-0.893+2.29-0.095-0.041-0.02-0.026+4.3-0.038-4.3-0.021-7.025-0.36-0.062-0.306-2.25-0.035-0.473+0.5-0.313</f>
        <v>0.37699999999999328</v>
      </c>
    </row>
    <row r="2519" spans="1:5" x14ac:dyDescent="0.3">
      <c r="A2519" s="10">
        <v>159</v>
      </c>
      <c r="B2519" s="10">
        <v>12</v>
      </c>
      <c r="C2519" s="10" t="s">
        <v>26</v>
      </c>
      <c r="D2519" s="10" t="s">
        <v>1</v>
      </c>
      <c r="E2519" s="15">
        <f>4.3+7.025+0.36-0.048+2.25-0.055+0.473-0.049-0.233-0.049-0.072-0.049-0.133-0.026-0.143-0.049-0.026-0.072-0.03-0.048-0.016-0.025-0.349-0.012-0.143-0.033-0.021-0.049-0.031-0.049-0.017-0.026-0.049-0.05-0.143-0.143-0.07-0.096-0.049-0.152-0.323-0.173-0.052-0.031-0.047-0.073-0.05-0.038-0.059-0.014-0.049-0.071-0.152-0.035-0.026-0.073+0.313-0.08-0.072-0.048-0.059-0.033-0.096-0.049-0.32-0.058-0.096-0.032-0.028-0.007-0.036-0.19-0.026</f>
        <v>9.6200000000000063</v>
      </c>
    </row>
    <row r="2520" spans="1:5" x14ac:dyDescent="0.3">
      <c r="A2520" s="10">
        <v>159</v>
      </c>
      <c r="B2520" s="10">
        <v>12</v>
      </c>
      <c r="C2520" s="10">
        <v>35</v>
      </c>
      <c r="D2520" s="10" t="s">
        <v>1</v>
      </c>
      <c r="E2520" s="15">
        <f>5.321+0.312-0.654</f>
        <v>4.9790000000000001</v>
      </c>
    </row>
    <row r="2521" spans="1:5" x14ac:dyDescent="0.3">
      <c r="A2521" s="10">
        <v>159</v>
      </c>
      <c r="B2521" s="10">
        <v>12</v>
      </c>
      <c r="C2521" s="10">
        <v>45</v>
      </c>
      <c r="D2521" s="10" t="s">
        <v>1</v>
      </c>
      <c r="E2521" s="15">
        <f>5.29-0.02-0.23-0.706-0.361-0.116-0.716-0.36-0.357-0.355</f>
        <v>2.0690000000000004</v>
      </c>
    </row>
    <row r="2522" spans="1:5" x14ac:dyDescent="0.3">
      <c r="A2522" s="10">
        <v>159</v>
      </c>
      <c r="B2522" s="10">
        <v>12</v>
      </c>
      <c r="C2522" s="10" t="s">
        <v>28</v>
      </c>
      <c r="D2522" s="10" t="s">
        <v>1</v>
      </c>
      <c r="E2522" s="15">
        <f>0.266-0.094</f>
        <v>0.17200000000000001</v>
      </c>
    </row>
    <row r="2523" spans="1:5" x14ac:dyDescent="0.3">
      <c r="A2523" s="10">
        <v>159</v>
      </c>
      <c r="B2523" s="10">
        <v>12</v>
      </c>
      <c r="C2523" s="10" t="s">
        <v>28</v>
      </c>
      <c r="D2523" s="10" t="s">
        <v>1</v>
      </c>
      <c r="E2523" s="15">
        <f>1.45+1.875</f>
        <v>3.3250000000000002</v>
      </c>
    </row>
    <row r="2524" spans="1:5" x14ac:dyDescent="0.3">
      <c r="A2524" s="10">
        <v>159</v>
      </c>
      <c r="B2524" s="10">
        <v>12</v>
      </c>
      <c r="C2524" s="10" t="s">
        <v>28</v>
      </c>
      <c r="D2524" s="10" t="s">
        <v>1</v>
      </c>
      <c r="E2524" s="15">
        <f>5-1.45-1.875</f>
        <v>1.6749999999999998</v>
      </c>
    </row>
    <row r="2525" spans="1:5" x14ac:dyDescent="0.3">
      <c r="A2525" s="8">
        <v>159</v>
      </c>
      <c r="B2525" s="8">
        <v>12</v>
      </c>
      <c r="C2525" s="8" t="s">
        <v>30</v>
      </c>
      <c r="D2525" s="8" t="s">
        <v>1</v>
      </c>
      <c r="E2525" s="9">
        <v>5</v>
      </c>
    </row>
    <row r="2526" spans="1:5" x14ac:dyDescent="0.3">
      <c r="A2526" s="12">
        <v>159</v>
      </c>
      <c r="B2526" s="12">
        <v>13</v>
      </c>
      <c r="C2526" s="12" t="s">
        <v>12</v>
      </c>
      <c r="D2526" s="8" t="s">
        <v>32</v>
      </c>
      <c r="E2526" s="15">
        <v>5</v>
      </c>
    </row>
    <row r="2527" spans="1:5" x14ac:dyDescent="0.3">
      <c r="A2527" s="10">
        <v>159</v>
      </c>
      <c r="B2527" s="10">
        <v>13</v>
      </c>
      <c r="C2527" s="10" t="s">
        <v>26</v>
      </c>
      <c r="D2527" s="10" t="s">
        <v>46</v>
      </c>
      <c r="E2527" s="15">
        <f>3.93+0.289-0.056</f>
        <v>4.1630000000000003</v>
      </c>
    </row>
    <row r="2528" spans="1:5" x14ac:dyDescent="0.3">
      <c r="A2528" s="12">
        <v>159</v>
      </c>
      <c r="B2528" s="12">
        <v>13</v>
      </c>
      <c r="C2528" s="12" t="s">
        <v>35</v>
      </c>
      <c r="D2528" s="8" t="s">
        <v>32</v>
      </c>
      <c r="E2528" s="15">
        <v>5</v>
      </c>
    </row>
    <row r="2529" spans="1:5" x14ac:dyDescent="0.3">
      <c r="A2529" s="12">
        <v>159</v>
      </c>
      <c r="B2529" s="12">
        <v>13</v>
      </c>
      <c r="C2529" s="12" t="s">
        <v>35</v>
      </c>
      <c r="D2529" s="8" t="s">
        <v>32</v>
      </c>
      <c r="E2529" s="15">
        <v>0.33400000000000002</v>
      </c>
    </row>
    <row r="2530" spans="1:5" x14ac:dyDescent="0.3">
      <c r="A2530" s="10">
        <v>159</v>
      </c>
      <c r="B2530" s="10">
        <v>14</v>
      </c>
      <c r="C2530" s="10">
        <v>20</v>
      </c>
      <c r="D2530" s="10" t="s">
        <v>1</v>
      </c>
      <c r="E2530" s="15">
        <f>0.34+0.138-0.046-0.03-0.063+0.013-0.341</f>
        <v>1.100000000000001E-2</v>
      </c>
    </row>
    <row r="2531" spans="1:5" x14ac:dyDescent="0.3">
      <c r="A2531" s="10">
        <v>159</v>
      </c>
      <c r="B2531" s="10">
        <v>14</v>
      </c>
      <c r="C2531" s="10">
        <v>20</v>
      </c>
      <c r="D2531" s="10" t="s">
        <v>1</v>
      </c>
      <c r="E2531" s="15">
        <f>5.262-0.398-0.115-0.054-0.028-0.304-0.156-1.01-0.028-0.036-0.069-0.028-0.019-0.104-0.087-0.104-0.027-0.111-0.054-0.155-0.206-0.212-0.038-0.156-0.88-0.028-0.019-0.015-0.133-0.041-0.068+0.305-0.051+9.148+0.876-0.073-0.055-1.031-0.052-0.029-0.055-0.107-0.317</f>
        <v>9.1379999999999999</v>
      </c>
    </row>
    <row r="2532" spans="1:5" x14ac:dyDescent="0.3">
      <c r="A2532" s="10">
        <v>159</v>
      </c>
      <c r="B2532" s="10">
        <v>14</v>
      </c>
      <c r="C2532" s="10">
        <v>20</v>
      </c>
      <c r="D2532" s="10" t="s">
        <v>110</v>
      </c>
      <c r="E2532" s="15">
        <f>0.61-0.156-0.065-0.019</f>
        <v>0.36999999999999994</v>
      </c>
    </row>
    <row r="2533" spans="1:5" x14ac:dyDescent="0.3">
      <c r="A2533" s="10">
        <v>159</v>
      </c>
      <c r="B2533" s="10">
        <v>14</v>
      </c>
      <c r="C2533" s="10" t="s">
        <v>26</v>
      </c>
      <c r="D2533" s="10" t="s">
        <v>1</v>
      </c>
      <c r="E2533" s="15">
        <f>2.02-0.054-0.079-0.159-0.018-0.105-0.054-0.12-0.297+0.602-0.613+1.714-0.081-0.065-0.375-0.039-0.034-0.156-0.023-0.157-0.037-0.375-0.021+0.98-0.022-0.022-0.33-0.037-0.055-0.131-0.117-0.019-0.107-0.377-0.107-0.03-0.009</f>
        <v>1.0910000000000009</v>
      </c>
    </row>
    <row r="2534" spans="1:5" x14ac:dyDescent="0.3">
      <c r="A2534" s="10">
        <v>159</v>
      </c>
      <c r="B2534" s="10">
        <v>14</v>
      </c>
      <c r="C2534" s="10" t="s">
        <v>26</v>
      </c>
      <c r="D2534" s="10" t="s">
        <v>64</v>
      </c>
      <c r="E2534" s="15">
        <f>9.528-0.679-0.028-0.013-0.053-0.064-0.639-0.311-0.156-0.044-0.299-0.054-0.027-0.692-0.021-0.104-0.12-0.32</f>
        <v>5.903999999999999</v>
      </c>
    </row>
    <row r="2535" spans="1:5" x14ac:dyDescent="0.3">
      <c r="A2535" s="10">
        <v>159</v>
      </c>
      <c r="B2535" s="10">
        <v>14</v>
      </c>
      <c r="C2535" s="10">
        <v>35</v>
      </c>
      <c r="D2535" s="10" t="s">
        <v>1</v>
      </c>
      <c r="E2535" s="15">
        <f>2.906+1.986-0.344</f>
        <v>4.548</v>
      </c>
    </row>
    <row r="2536" spans="1:5" x14ac:dyDescent="0.3">
      <c r="A2536" s="10">
        <v>159</v>
      </c>
      <c r="B2536" s="10">
        <v>14</v>
      </c>
      <c r="C2536" s="10">
        <v>45</v>
      </c>
      <c r="D2536" s="10" t="s">
        <v>1</v>
      </c>
      <c r="E2536" s="15">
        <f>2.75+1.796-0.36+0.152-0.343</f>
        <v>3.9950000000000001</v>
      </c>
    </row>
    <row r="2537" spans="1:5" x14ac:dyDescent="0.3">
      <c r="A2537" s="10">
        <v>159</v>
      </c>
      <c r="B2537" s="10">
        <v>14</v>
      </c>
      <c r="C2537" s="10">
        <v>45</v>
      </c>
      <c r="D2537" s="10" t="s">
        <v>110</v>
      </c>
      <c r="E2537" s="15">
        <v>1.22</v>
      </c>
    </row>
    <row r="2538" spans="1:5" x14ac:dyDescent="0.3">
      <c r="A2538" s="10">
        <v>159</v>
      </c>
      <c r="B2538" s="10">
        <v>14</v>
      </c>
      <c r="C2538" s="10" t="s">
        <v>28</v>
      </c>
      <c r="D2538" s="10" t="s">
        <v>1</v>
      </c>
      <c r="E2538" s="15">
        <f>1.025+3.345-0.105-0.05-0.353-0.029-1.368-0.054-0.766-0.195-0.77-0.774+0.152+1.56-1.56</f>
        <v>5.7999999999999829E-2</v>
      </c>
    </row>
    <row r="2539" spans="1:5" x14ac:dyDescent="0.3">
      <c r="A2539" s="10">
        <v>159</v>
      </c>
      <c r="B2539" s="10">
        <v>14</v>
      </c>
      <c r="C2539" s="10" t="s">
        <v>28</v>
      </c>
      <c r="D2539" s="10" t="s">
        <v>1</v>
      </c>
      <c r="E2539" s="15">
        <f>2.09-0.467+1.56-0.064-1.205</f>
        <v>1.9139999999999997</v>
      </c>
    </row>
    <row r="2540" spans="1:5" x14ac:dyDescent="0.3">
      <c r="A2540" s="10">
        <v>159</v>
      </c>
      <c r="B2540" s="10">
        <v>14</v>
      </c>
      <c r="C2540" s="10" t="s">
        <v>28</v>
      </c>
      <c r="D2540" s="10" t="s">
        <v>1</v>
      </c>
      <c r="E2540" s="15">
        <f>4.35-1.56</f>
        <v>2.7899999999999996</v>
      </c>
    </row>
    <row r="2541" spans="1:5" x14ac:dyDescent="0.3">
      <c r="A2541" s="10">
        <v>159</v>
      </c>
      <c r="B2541" s="10">
        <v>14</v>
      </c>
      <c r="C2541" s="10" t="s">
        <v>30</v>
      </c>
      <c r="D2541" s="10" t="s">
        <v>1</v>
      </c>
      <c r="E2541" s="15">
        <v>5.4550000000000001</v>
      </c>
    </row>
    <row r="2542" spans="1:5" x14ac:dyDescent="0.3">
      <c r="A2542" s="8">
        <v>159</v>
      </c>
      <c r="B2542" s="8">
        <v>15</v>
      </c>
      <c r="C2542" s="8" t="s">
        <v>12</v>
      </c>
      <c r="D2542" s="8" t="s">
        <v>32</v>
      </c>
      <c r="E2542" s="9">
        <f>2.329+4.222-0.345+1.357-0.051</f>
        <v>7.5120000000000005</v>
      </c>
    </row>
    <row r="2543" spans="1:5" x14ac:dyDescent="0.3">
      <c r="A2543" s="12">
        <v>159</v>
      </c>
      <c r="B2543" s="12">
        <v>15</v>
      </c>
      <c r="C2543" s="12" t="s">
        <v>35</v>
      </c>
      <c r="D2543" s="8" t="s">
        <v>32</v>
      </c>
      <c r="E2543" s="15">
        <v>2</v>
      </c>
    </row>
    <row r="2544" spans="1:5" x14ac:dyDescent="0.3">
      <c r="A2544" s="8">
        <v>159</v>
      </c>
      <c r="B2544" s="8">
        <v>15</v>
      </c>
      <c r="C2544" s="8" t="s">
        <v>31</v>
      </c>
      <c r="D2544" s="8" t="s">
        <v>32</v>
      </c>
      <c r="E2544" s="9">
        <f>0.778-0.118-0.032</f>
        <v>0.628</v>
      </c>
    </row>
    <row r="2545" spans="1:5" x14ac:dyDescent="0.3">
      <c r="A2545" s="10">
        <v>159</v>
      </c>
      <c r="B2545" s="10">
        <v>16</v>
      </c>
      <c r="C2545" s="10">
        <v>20</v>
      </c>
      <c r="D2545" s="10" t="s">
        <v>1</v>
      </c>
      <c r="E2545" s="15">
        <f>4.528-0.975-0.081-0.027-0.045-0.121-0.033-0.123-0.045-0.394-0.123-0.075-0.186-0.035-0.183-0.084-0.021-0.063-0.075-0.152-0.034-0.05-0.036-0.081-0.305-0.051-0.343-0.282-0.159-0.123-0.152+0.047-0.066+4.96-2.872-0.063+5.268-0.318-0.163-0.645-0.099-0.342-1.381-0.345-0.128-0.365-0.033-0.162-0.083-0.48-0.158-0.137-0.213-0.046-0.131-0.045+3.006+2.628-0.039-0.152-0.069-0.162-0.364-0.095-0.024-0.032-0.035-0.034-0.065-3.315-0.021-0.095-0.123-0.123-0.081</f>
        <v>2.8759999999999999</v>
      </c>
    </row>
    <row r="2546" spans="1:5" x14ac:dyDescent="0.3">
      <c r="A2546" s="10">
        <v>159</v>
      </c>
      <c r="B2546" s="10">
        <v>16</v>
      </c>
      <c r="C2546" s="10" t="s">
        <v>26</v>
      </c>
      <c r="D2546" s="10" t="s">
        <v>64</v>
      </c>
      <c r="E2546" s="15">
        <f>4.874-0.337-0.09-0.176-0.122-0.043-0.025-0.06+0.282-0.639-0.061-0.032+0.628-0.032-0.198+1.788-0.661-0.119-0.191-0.597-0.044-0.056-0.061+4.236-0.137-0.025-0.032-0.65-0.635-0.061-0.061-0.032-0.127-0.062-0.305-0.119-0.033-0.625-0.119-0.323-0.091-0.017-1.527-0.313-0.311-0.042+1.166-0.027-0.037-0.023-0.335-0.308-0.336-0.032</f>
        <v>2.6849999999999978</v>
      </c>
    </row>
    <row r="2547" spans="1:5" x14ac:dyDescent="0.3">
      <c r="A2547" s="12">
        <v>159</v>
      </c>
      <c r="B2547" s="12">
        <v>16</v>
      </c>
      <c r="C2547" s="12" t="s">
        <v>26</v>
      </c>
      <c r="D2547" s="8" t="s">
        <v>64</v>
      </c>
      <c r="E2547" s="15">
        <v>3.1960000000000002</v>
      </c>
    </row>
    <row r="2548" spans="1:5" x14ac:dyDescent="0.3">
      <c r="A2548" s="10">
        <v>159</v>
      </c>
      <c r="B2548" s="10">
        <v>16</v>
      </c>
      <c r="C2548" s="10">
        <v>35</v>
      </c>
      <c r="D2548" s="10" t="s">
        <v>1</v>
      </c>
      <c r="E2548" s="15">
        <f>5.351-0.636+0.04-0.253-0.062-0.06-0.06-2.073-0.105-0.06-0.213-0.06-0.062-0.072</f>
        <v>1.675</v>
      </c>
    </row>
    <row r="2549" spans="1:5" x14ac:dyDescent="0.3">
      <c r="A2549" s="8">
        <v>159</v>
      </c>
      <c r="B2549" s="8">
        <v>16</v>
      </c>
      <c r="C2549" s="8">
        <v>35</v>
      </c>
      <c r="D2549" s="8" t="s">
        <v>1</v>
      </c>
      <c r="E2549" s="9">
        <v>4.99</v>
      </c>
    </row>
    <row r="2550" spans="1:5" x14ac:dyDescent="0.3">
      <c r="A2550" s="10">
        <v>159</v>
      </c>
      <c r="B2550" s="10">
        <v>16</v>
      </c>
      <c r="C2550" s="10">
        <v>45</v>
      </c>
      <c r="D2550" s="10" t="s">
        <v>1</v>
      </c>
      <c r="E2550" s="15">
        <f>5.273-0.027-0.352-0.707-0.656-0.717-0.033</f>
        <v>2.7809999999999993</v>
      </c>
    </row>
    <row r="2551" spans="1:5" x14ac:dyDescent="0.3">
      <c r="A2551" s="10">
        <v>159</v>
      </c>
      <c r="B2551" s="10">
        <v>16</v>
      </c>
      <c r="C2551" s="10" t="s">
        <v>35</v>
      </c>
      <c r="D2551" s="10" t="s">
        <v>32</v>
      </c>
      <c r="E2551" s="15">
        <v>0.33600000000000002</v>
      </c>
    </row>
    <row r="2552" spans="1:5" x14ac:dyDescent="0.3">
      <c r="A2552" s="12">
        <v>159</v>
      </c>
      <c r="B2552" s="12">
        <v>16</v>
      </c>
      <c r="C2552" s="12" t="s">
        <v>35</v>
      </c>
      <c r="D2552" s="8" t="s">
        <v>32</v>
      </c>
      <c r="E2552" s="15">
        <f>2-0.336</f>
        <v>1.6639999999999999</v>
      </c>
    </row>
    <row r="2553" spans="1:5" x14ac:dyDescent="0.3">
      <c r="A2553" s="10">
        <v>159</v>
      </c>
      <c r="B2553" s="10">
        <v>16</v>
      </c>
      <c r="C2553" s="10" t="s">
        <v>28</v>
      </c>
      <c r="D2553" s="10" t="s">
        <v>1</v>
      </c>
      <c r="E2553" s="15">
        <f>3.597-0.523-0.507-1.525-0.521+5.27+0.492-0.119-0.118-0.254-0.492-0.013-0.522-4.463</f>
        <v>0.3019999999999996</v>
      </c>
    </row>
    <row r="2554" spans="1:5" x14ac:dyDescent="0.3">
      <c r="A2554" s="10">
        <v>159</v>
      </c>
      <c r="B2554" s="10">
        <v>16</v>
      </c>
      <c r="C2554" s="10" t="s">
        <v>28</v>
      </c>
      <c r="D2554" s="10" t="s">
        <v>1</v>
      </c>
      <c r="E2554" s="15">
        <f>0.522+4.463</f>
        <v>4.9850000000000003</v>
      </c>
    </row>
    <row r="2555" spans="1:5" x14ac:dyDescent="0.3">
      <c r="A2555" s="10">
        <v>159</v>
      </c>
      <c r="B2555" s="10">
        <v>16</v>
      </c>
      <c r="C2555" s="10" t="s">
        <v>30</v>
      </c>
      <c r="D2555" s="10" t="s">
        <v>1</v>
      </c>
      <c r="E2555" s="15">
        <f>4.6-0.06-0.452-0.061-0.037-0.118-0.06-0.048-0.118-0.076-0.09</f>
        <v>3.4800000000000004</v>
      </c>
    </row>
    <row r="2556" spans="1:5" x14ac:dyDescent="0.3">
      <c r="A2556" s="10">
        <v>159</v>
      </c>
      <c r="B2556" s="10">
        <v>17</v>
      </c>
      <c r="C2556" s="10" t="s">
        <v>36</v>
      </c>
      <c r="D2556" s="10" t="s">
        <v>1</v>
      </c>
      <c r="E2556" s="15">
        <v>7.02</v>
      </c>
    </row>
    <row r="2557" spans="1:5" x14ac:dyDescent="0.3">
      <c r="A2557" s="8">
        <v>159</v>
      </c>
      <c r="B2557" s="8">
        <v>18</v>
      </c>
      <c r="C2557" s="8">
        <v>20</v>
      </c>
      <c r="D2557" s="8" t="s">
        <v>1</v>
      </c>
      <c r="E2557" s="9">
        <v>5</v>
      </c>
    </row>
    <row r="2558" spans="1:5" x14ac:dyDescent="0.3">
      <c r="A2558" s="10">
        <v>159</v>
      </c>
      <c r="B2558" s="10">
        <v>18</v>
      </c>
      <c r="C2558" s="10" t="s">
        <v>26</v>
      </c>
      <c r="D2558" s="10" t="s">
        <v>64</v>
      </c>
      <c r="E2558" s="15">
        <f>3.98-0.069-0.354-0.169-0.071-0.137-0.069-0.93+3.63-3.63-0.015-0.383-0.908-0.038-0.07-0.038</f>
        <v>0.72899999999999987</v>
      </c>
    </row>
    <row r="2559" spans="1:5" x14ac:dyDescent="0.3">
      <c r="A2559" s="10">
        <v>159</v>
      </c>
      <c r="B2559" s="10">
        <v>18</v>
      </c>
      <c r="C2559" s="10" t="s">
        <v>26</v>
      </c>
      <c r="D2559" s="10" t="s">
        <v>64</v>
      </c>
      <c r="E2559" s="15">
        <f>3.63-0.137-0.276-0.139-0.07-0.098-0.051-0.108-2.014</f>
        <v>0.73699999999999966</v>
      </c>
    </row>
    <row r="2560" spans="1:5" x14ac:dyDescent="0.3">
      <c r="A2560" s="10">
        <v>159</v>
      </c>
      <c r="B2560" s="10">
        <v>18</v>
      </c>
      <c r="C2560" s="10">
        <v>45</v>
      </c>
      <c r="D2560" s="10" t="s">
        <v>1</v>
      </c>
      <c r="E2560" s="15">
        <f>5.385-0.038+0.42-0.423-0.075-0.373-0.023-0.035-0.107</f>
        <v>4.730999999999999</v>
      </c>
    </row>
    <row r="2561" spans="1:5" x14ac:dyDescent="0.3">
      <c r="A2561" s="10">
        <v>159</v>
      </c>
      <c r="B2561" s="10">
        <v>18</v>
      </c>
      <c r="C2561" s="10" t="s">
        <v>28</v>
      </c>
      <c r="D2561" s="10" t="s">
        <v>1</v>
      </c>
      <c r="E2561" s="15">
        <f>4.69-0.985-0.097-0.097-0.199-0.48-2.894+0.121</f>
        <v>5.9000000000000608E-2</v>
      </c>
    </row>
    <row r="2562" spans="1:5" x14ac:dyDescent="0.3">
      <c r="A2562" s="10">
        <v>159</v>
      </c>
      <c r="B2562" s="10">
        <v>18</v>
      </c>
      <c r="C2562" s="10" t="s">
        <v>28</v>
      </c>
      <c r="D2562" s="10" t="s">
        <v>1</v>
      </c>
      <c r="E2562" s="15">
        <v>2.8940000000000001</v>
      </c>
    </row>
    <row r="2563" spans="1:5" x14ac:dyDescent="0.3">
      <c r="A2563" s="8">
        <v>159</v>
      </c>
      <c r="B2563" s="8">
        <v>20</v>
      </c>
      <c r="C2563" s="13">
        <v>20</v>
      </c>
      <c r="D2563" s="8" t="s">
        <v>1</v>
      </c>
      <c r="E2563" s="9">
        <f>0.543-0.272</f>
        <v>0.27100000000000002</v>
      </c>
    </row>
    <row r="2564" spans="1:5" x14ac:dyDescent="0.3">
      <c r="A2564" s="10">
        <v>159</v>
      </c>
      <c r="B2564" s="10">
        <v>20</v>
      </c>
      <c r="C2564" s="10">
        <v>20</v>
      </c>
      <c r="D2564" s="10" t="s">
        <v>1</v>
      </c>
      <c r="E2564" s="15">
        <f>7.23-0.128-0.074-0.255-0.22-0.219-0.219-0.077-0.51-0.095-0.04-0.161-0.147-0.054-0.025-0.534-0.018-0.126-0.199-0.519-0.148</f>
        <v>3.4620000000000002</v>
      </c>
    </row>
    <row r="2565" spans="1:5" x14ac:dyDescent="0.3">
      <c r="A2565" s="10">
        <v>159</v>
      </c>
      <c r="B2565" s="10">
        <v>20</v>
      </c>
      <c r="C2565" s="10" t="s">
        <v>12</v>
      </c>
      <c r="D2565" s="10" t="s">
        <v>32</v>
      </c>
      <c r="E2565" s="15">
        <f>2.991+2.233-0.99-0.47-0.51+0.036-0.19-0.082-0.153-0.257-0.027-0.227-0.515-0.293</f>
        <v>1.5460000000000005</v>
      </c>
    </row>
    <row r="2566" spans="1:5" x14ac:dyDescent="0.3">
      <c r="A2566" s="10">
        <v>159</v>
      </c>
      <c r="B2566" s="10">
        <v>20</v>
      </c>
      <c r="C2566" s="10" t="s">
        <v>26</v>
      </c>
      <c r="D2566" s="10" t="s">
        <v>64</v>
      </c>
      <c r="E2566" s="15">
        <f>2.964-0.505-0.018-0.21-0.141-0.489+5.51-0.522-0.785-0.826-0.025-3.148-0.085-0.496-0.074-0.319-0.081-0.143-0.495-0.126+0.076-0.126+0.126+7.045-0.062-1.235-0.037-0.074-0.109-0.355-0.213-0.325-0.037-0.206-0.614-0.109-0.016-0.107-0.072-0.121-0.142-0.013-1.239-0.213-0.03-0.217-0.072-0.283-0.031-0.616-0.145</f>
        <v>0.41399999999999892</v>
      </c>
    </row>
    <row r="2567" spans="1:5" x14ac:dyDescent="0.3">
      <c r="A2567" s="10">
        <v>159</v>
      </c>
      <c r="B2567" s="10">
        <v>20</v>
      </c>
      <c r="C2567" s="10" t="s">
        <v>26</v>
      </c>
      <c r="D2567" s="10" t="s">
        <v>64</v>
      </c>
      <c r="E2567" s="15">
        <f>9.83-0.52-0.517-0.512-0.145-0.073-0.277-1.56-0.144-0.172-0.403-0.103</f>
        <v>5.4040000000000017</v>
      </c>
    </row>
    <row r="2568" spans="1:5" x14ac:dyDescent="0.3">
      <c r="A2568" s="10">
        <v>159</v>
      </c>
      <c r="B2568" s="10">
        <v>20</v>
      </c>
      <c r="C2568" s="10">
        <v>35</v>
      </c>
      <c r="D2568" s="10" t="s">
        <v>1</v>
      </c>
      <c r="E2568" s="15">
        <f>4.83-0.074-0.073-0.072-0.062-1.528+0.026</f>
        <v>3.0469999999999993</v>
      </c>
    </row>
    <row r="2569" spans="1:5" x14ac:dyDescent="0.3">
      <c r="A2569" s="8">
        <v>159</v>
      </c>
      <c r="B2569" s="8">
        <v>20</v>
      </c>
      <c r="C2569" s="8">
        <v>45</v>
      </c>
      <c r="D2569" s="8" t="s">
        <v>1</v>
      </c>
      <c r="E2569" s="9">
        <v>5</v>
      </c>
    </row>
    <row r="2570" spans="1:5" x14ac:dyDescent="0.3">
      <c r="A2570" s="10">
        <v>159</v>
      </c>
      <c r="B2570" s="10">
        <v>20</v>
      </c>
      <c r="C2570" s="10" t="s">
        <v>36</v>
      </c>
      <c r="D2570" s="10" t="s">
        <v>1</v>
      </c>
      <c r="E2570" s="15">
        <f>2.407-0.383</f>
        <v>2.024</v>
      </c>
    </row>
    <row r="2571" spans="1:5" x14ac:dyDescent="0.3">
      <c r="A2571" s="10">
        <v>159</v>
      </c>
      <c r="B2571" s="10">
        <v>20</v>
      </c>
      <c r="C2571" s="10" t="s">
        <v>28</v>
      </c>
      <c r="D2571" s="10" t="s">
        <v>1</v>
      </c>
      <c r="E2571" s="15">
        <f>6.403+19.472+5.208-0.277-5.295-18.882-0.925+5.305-0.594-0.91-0.073-1.188-0.455-0.065-1.883-1.062-0.593-2.673-0.243-0.148-1.055+0.034-0.017</f>
        <v>8.3999999999992178E-2</v>
      </c>
    </row>
    <row r="2572" spans="1:5" x14ac:dyDescent="0.3">
      <c r="A2572" s="10">
        <v>159</v>
      </c>
      <c r="B2572" s="10">
        <v>20</v>
      </c>
      <c r="C2572" s="10" t="s">
        <v>28</v>
      </c>
      <c r="D2572" s="10" t="s">
        <v>1</v>
      </c>
      <c r="E2572" s="15">
        <f>4.795+0.56-1.265-0.071-1.14-0.143-0.105</f>
        <v>2.6310000000000016</v>
      </c>
    </row>
    <row r="2573" spans="1:5" x14ac:dyDescent="0.3">
      <c r="A2573" s="10">
        <v>159</v>
      </c>
      <c r="B2573" s="10">
        <v>20</v>
      </c>
      <c r="C2573" s="10" t="s">
        <v>30</v>
      </c>
      <c r="D2573" s="10" t="s">
        <v>1</v>
      </c>
      <c r="E2573" s="15">
        <f>2.405+2.295-0.149+1.165+4.66-0.149-0.07-0.207-0.169-0.038-0.597-0.01</f>
        <v>9.1359999999999992</v>
      </c>
    </row>
    <row r="2574" spans="1:5" x14ac:dyDescent="0.3">
      <c r="A2574" s="8">
        <v>159</v>
      </c>
      <c r="B2574" s="8">
        <v>22</v>
      </c>
      <c r="C2574" s="8">
        <v>20</v>
      </c>
      <c r="D2574" s="8" t="s">
        <v>1</v>
      </c>
      <c r="E2574" s="9">
        <v>5</v>
      </c>
    </row>
    <row r="2575" spans="1:5" x14ac:dyDescent="0.3">
      <c r="A2575" s="10">
        <v>159</v>
      </c>
      <c r="B2575" s="10">
        <v>22</v>
      </c>
      <c r="C2575" s="10" t="s">
        <v>26</v>
      </c>
      <c r="D2575" s="10" t="s">
        <v>64</v>
      </c>
      <c r="E2575" s="15">
        <f>10.29-0.21+14.22-0.141-0.076-0.085-0.504-0.055-0.05-0.017-0.057</f>
        <v>23.314999999999998</v>
      </c>
    </row>
    <row r="2576" spans="1:5" x14ac:dyDescent="0.3">
      <c r="A2576" s="8">
        <v>159</v>
      </c>
      <c r="B2576" s="8">
        <v>22</v>
      </c>
      <c r="C2576" s="8">
        <v>45</v>
      </c>
      <c r="D2576" s="8" t="s">
        <v>1</v>
      </c>
      <c r="E2576" s="9">
        <v>5</v>
      </c>
    </row>
    <row r="2577" spans="1:5" x14ac:dyDescent="0.3">
      <c r="A2577" s="10">
        <v>159</v>
      </c>
      <c r="B2577" s="10">
        <v>22</v>
      </c>
      <c r="C2577" s="10" t="s">
        <v>28</v>
      </c>
      <c r="D2577" s="10" t="s">
        <v>1</v>
      </c>
      <c r="E2577" s="15">
        <f>2.995+2.405</f>
        <v>5.4</v>
      </c>
    </row>
    <row r="2578" spans="1:5" x14ac:dyDescent="0.3">
      <c r="A2578" s="8">
        <v>159</v>
      </c>
      <c r="B2578" s="8">
        <v>22</v>
      </c>
      <c r="C2578" s="8" t="s">
        <v>30</v>
      </c>
      <c r="D2578" s="8" t="s">
        <v>1</v>
      </c>
      <c r="E2578" s="9">
        <v>9.5129999999999999</v>
      </c>
    </row>
    <row r="2579" spans="1:5" x14ac:dyDescent="0.3">
      <c r="A2579" s="10">
        <v>159</v>
      </c>
      <c r="B2579" s="10">
        <v>24</v>
      </c>
      <c r="C2579" s="10" t="s">
        <v>36</v>
      </c>
      <c r="D2579" s="10" t="s">
        <v>1</v>
      </c>
      <c r="E2579" s="15">
        <f>4.735-0.245-0.61-0.611-3.022</f>
        <v>0.24700000000000033</v>
      </c>
    </row>
    <row r="2580" spans="1:5" x14ac:dyDescent="0.3">
      <c r="A2580" s="10">
        <v>159</v>
      </c>
      <c r="B2580" s="10">
        <v>24</v>
      </c>
      <c r="C2580" s="10" t="s">
        <v>36</v>
      </c>
      <c r="D2580" s="10" t="s">
        <v>1</v>
      </c>
      <c r="E2580" s="15">
        <v>3.0219999999999998</v>
      </c>
    </row>
    <row r="2581" spans="1:5" x14ac:dyDescent="0.3">
      <c r="A2581" s="10">
        <v>159</v>
      </c>
      <c r="B2581" s="10">
        <v>24</v>
      </c>
      <c r="C2581" s="10" t="s">
        <v>28</v>
      </c>
      <c r="D2581" s="10" t="s">
        <v>1</v>
      </c>
      <c r="E2581" s="15">
        <f>7.262+4.78-0.522-4.78</f>
        <v>6.7399999999999993</v>
      </c>
    </row>
    <row r="2582" spans="1:5" x14ac:dyDescent="0.3">
      <c r="A2582" s="10">
        <v>159</v>
      </c>
      <c r="B2582" s="10">
        <v>24</v>
      </c>
      <c r="C2582" s="10" t="s">
        <v>28</v>
      </c>
      <c r="D2582" s="10" t="s">
        <v>1</v>
      </c>
      <c r="E2582" s="15">
        <f>4.78-0.082</f>
        <v>4.6980000000000004</v>
      </c>
    </row>
    <row r="2583" spans="1:5" x14ac:dyDescent="0.3">
      <c r="A2583" s="10">
        <v>159</v>
      </c>
      <c r="B2583" s="10">
        <v>24</v>
      </c>
      <c r="C2583" s="10" t="s">
        <v>30</v>
      </c>
      <c r="D2583" s="10" t="s">
        <v>1</v>
      </c>
      <c r="E2583" s="15">
        <f>0.58+2.43+2.365</f>
        <v>5.375</v>
      </c>
    </row>
    <row r="2584" spans="1:5" x14ac:dyDescent="0.3">
      <c r="A2584" s="8">
        <v>159</v>
      </c>
      <c r="B2584" s="8">
        <v>25</v>
      </c>
      <c r="C2584" s="8">
        <v>20</v>
      </c>
      <c r="D2584" s="8" t="s">
        <v>1</v>
      </c>
      <c r="E2584" s="9">
        <v>5</v>
      </c>
    </row>
    <row r="2585" spans="1:5" x14ac:dyDescent="0.3">
      <c r="A2585" s="10">
        <v>159</v>
      </c>
      <c r="B2585" s="10">
        <v>25</v>
      </c>
      <c r="C2585" s="10" t="s">
        <v>26</v>
      </c>
      <c r="D2585" s="10" t="s">
        <v>64</v>
      </c>
      <c r="E2585" s="15">
        <f>7.16+3.24-0.222-0.087-2.861-1.621-0.072-0.466-0.359-0.162-0.088-0.088-0.116-0.488-0.215-0.158-0.172-0.449-0.042-0.47-0.207</f>
        <v>2.0570000000000004</v>
      </c>
    </row>
    <row r="2586" spans="1:5" x14ac:dyDescent="0.3">
      <c r="A2586" s="10">
        <v>159</v>
      </c>
      <c r="B2586" s="10">
        <v>25</v>
      </c>
      <c r="C2586" s="10">
        <v>35</v>
      </c>
      <c r="D2586" s="10" t="s">
        <v>1</v>
      </c>
      <c r="E2586" s="15">
        <f>5.435-1.815-0.377-1.223-0.956-0.087-0.093-0.087-0.609</f>
        <v>0.18799999999999972</v>
      </c>
    </row>
    <row r="2587" spans="1:5" x14ac:dyDescent="0.3">
      <c r="A2587" s="8">
        <v>159</v>
      </c>
      <c r="B2587" s="8">
        <v>25</v>
      </c>
      <c r="C2587" s="8">
        <v>35</v>
      </c>
      <c r="D2587" s="8" t="s">
        <v>1</v>
      </c>
      <c r="E2587" s="9">
        <v>5</v>
      </c>
    </row>
    <row r="2588" spans="1:5" x14ac:dyDescent="0.3">
      <c r="A2588" s="10">
        <v>159</v>
      </c>
      <c r="B2588" s="10">
        <v>25</v>
      </c>
      <c r="C2588" s="10">
        <v>45</v>
      </c>
      <c r="D2588" s="10" t="s">
        <v>1</v>
      </c>
      <c r="E2588" s="15">
        <f>5.06-0.331+0.745-0.161-0.112-0.046-0.044-0.22-0.087-0.058-0.289-1.487-1.5-0.069-0.044-0.17-0.046-0.086-0.088-0.169-0.747</f>
        <v>5.10000000000006E-2</v>
      </c>
    </row>
    <row r="2589" spans="1:5" x14ac:dyDescent="0.3">
      <c r="A2589" s="8">
        <v>159</v>
      </c>
      <c r="B2589" s="8">
        <v>25</v>
      </c>
      <c r="C2589" s="8">
        <v>45</v>
      </c>
      <c r="D2589" s="8" t="s">
        <v>1</v>
      </c>
      <c r="E2589" s="9">
        <v>5</v>
      </c>
    </row>
    <row r="2590" spans="1:5" x14ac:dyDescent="0.3">
      <c r="A2590" s="10">
        <v>159</v>
      </c>
      <c r="B2590" s="10">
        <v>26</v>
      </c>
      <c r="C2590" s="10" t="s">
        <v>28</v>
      </c>
      <c r="D2590" s="10" t="s">
        <v>1</v>
      </c>
      <c r="E2590" s="15">
        <f>2.945+1.76+2.36-0.254-1.838</f>
        <v>4.9729999999999999</v>
      </c>
    </row>
    <row r="2591" spans="1:5" x14ac:dyDescent="0.3">
      <c r="A2591" s="10">
        <v>159</v>
      </c>
      <c r="B2591" s="10">
        <v>26</v>
      </c>
      <c r="C2591" s="10" t="s">
        <v>30</v>
      </c>
      <c r="D2591" s="10" t="s">
        <v>1</v>
      </c>
      <c r="E2591" s="15">
        <f>2.64+2.3+2.31-0.366-0.784-0.26-0.778-0.108</f>
        <v>4.9540000000000015</v>
      </c>
    </row>
    <row r="2592" spans="1:5" x14ac:dyDescent="0.3">
      <c r="A2592" s="10">
        <v>159</v>
      </c>
      <c r="B2592" s="10">
        <v>26</v>
      </c>
      <c r="C2592" s="10" t="s">
        <v>31</v>
      </c>
      <c r="D2592" s="10" t="s">
        <v>32</v>
      </c>
      <c r="E2592" s="15">
        <f>4.883-0.028-0.471-0.096-0.031-0.21-0.928-1.104-0.051-0.559-0.104</f>
        <v>1.3010000000000006</v>
      </c>
    </row>
    <row r="2593" spans="1:5" x14ac:dyDescent="0.3">
      <c r="A2593" s="10">
        <v>159</v>
      </c>
      <c r="B2593" s="10">
        <v>28</v>
      </c>
      <c r="C2593" s="10">
        <v>20</v>
      </c>
      <c r="D2593" s="10" t="s">
        <v>1</v>
      </c>
      <c r="E2593" s="15">
        <f>5.6-0.539-0.166-0.168-0.034-0.187-0.116</f>
        <v>4.3899999999999997</v>
      </c>
    </row>
    <row r="2594" spans="1:5" x14ac:dyDescent="0.3">
      <c r="A2594" s="10">
        <v>159</v>
      </c>
      <c r="B2594" s="10">
        <v>28</v>
      </c>
      <c r="C2594" s="10" t="s">
        <v>26</v>
      </c>
      <c r="D2594" s="10" t="s">
        <v>1</v>
      </c>
      <c r="E2594" s="15">
        <f>2.542-0.931-0.14-0.207+1.398-0.409-1.284-0.129-0.463-0.187-0.168+0.09-0.041-0.031-0.027</f>
        <v>1.2999999999999592E-2</v>
      </c>
    </row>
    <row r="2595" spans="1:5" x14ac:dyDescent="0.3">
      <c r="A2595" s="10">
        <v>159</v>
      </c>
      <c r="B2595" s="10">
        <v>28</v>
      </c>
      <c r="C2595" s="10" t="s">
        <v>26</v>
      </c>
      <c r="D2595" s="10" t="s">
        <v>64</v>
      </c>
      <c r="E2595" s="15">
        <f>3.57+1.06-0.135-0.046</f>
        <v>4.4489999999999998</v>
      </c>
    </row>
    <row r="2596" spans="1:5" x14ac:dyDescent="0.3">
      <c r="A2596" s="8">
        <v>159</v>
      </c>
      <c r="B2596" s="8">
        <v>28</v>
      </c>
      <c r="C2596" s="8">
        <v>35</v>
      </c>
      <c r="D2596" s="8" t="s">
        <v>1</v>
      </c>
      <c r="E2596" s="9">
        <v>5</v>
      </c>
    </row>
    <row r="2597" spans="1:5" x14ac:dyDescent="0.3">
      <c r="A2597" s="8">
        <v>159</v>
      </c>
      <c r="B2597" s="8">
        <v>28</v>
      </c>
      <c r="C2597" s="8">
        <v>45</v>
      </c>
      <c r="D2597" s="8" t="s">
        <v>1</v>
      </c>
      <c r="E2597" s="9">
        <v>5</v>
      </c>
    </row>
    <row r="2598" spans="1:5" x14ac:dyDescent="0.3">
      <c r="A2598" s="10">
        <v>159</v>
      </c>
      <c r="B2598" s="10">
        <v>28</v>
      </c>
      <c r="C2598" s="10" t="s">
        <v>28</v>
      </c>
      <c r="D2598" s="10" t="s">
        <v>1</v>
      </c>
      <c r="E2598" s="15">
        <f>7.08-0.186-0.807-0.014-0.186</f>
        <v>5.8869999999999996</v>
      </c>
    </row>
    <row r="2599" spans="1:5" x14ac:dyDescent="0.3">
      <c r="A2599" s="10">
        <v>159</v>
      </c>
      <c r="B2599" s="10">
        <v>28</v>
      </c>
      <c r="C2599" s="10" t="s">
        <v>30</v>
      </c>
      <c r="D2599" s="10" t="s">
        <v>1</v>
      </c>
      <c r="E2599" s="15">
        <f>2.42+2.42+0.81-0.119-0.022</f>
        <v>5.5090000000000003</v>
      </c>
    </row>
    <row r="2600" spans="1:5" x14ac:dyDescent="0.3">
      <c r="A2600" s="8">
        <v>159</v>
      </c>
      <c r="B2600" s="8">
        <v>28</v>
      </c>
      <c r="C2600" s="8" t="s">
        <v>30</v>
      </c>
      <c r="D2600" s="8" t="s">
        <v>1</v>
      </c>
      <c r="E2600" s="9">
        <v>5</v>
      </c>
    </row>
    <row r="2601" spans="1:5" x14ac:dyDescent="0.3">
      <c r="A2601" s="8">
        <v>159</v>
      </c>
      <c r="B2601" s="8">
        <v>30</v>
      </c>
      <c r="C2601" s="8">
        <v>20</v>
      </c>
      <c r="D2601" s="8" t="s">
        <v>1</v>
      </c>
      <c r="E2601" s="9">
        <f>10.165-0.053-0.075-0.148-0.871-0.106</f>
        <v>8.911999999999999</v>
      </c>
    </row>
    <row r="2602" spans="1:5" x14ac:dyDescent="0.3">
      <c r="A2602" s="8">
        <v>159</v>
      </c>
      <c r="B2602" s="8">
        <v>30</v>
      </c>
      <c r="C2602" s="8">
        <v>45</v>
      </c>
      <c r="D2602" s="8" t="s">
        <v>1</v>
      </c>
      <c r="E2602" s="9">
        <v>5</v>
      </c>
    </row>
    <row r="2603" spans="1:5" x14ac:dyDescent="0.3">
      <c r="A2603" s="10">
        <v>159</v>
      </c>
      <c r="B2603" s="10">
        <v>30</v>
      </c>
      <c r="C2603" s="10" t="s">
        <v>36</v>
      </c>
      <c r="D2603" s="10" t="s">
        <v>1</v>
      </c>
      <c r="E2603" s="15">
        <f>5.075-0.833-0.091-3.52</f>
        <v>0.63099999999999978</v>
      </c>
    </row>
    <row r="2604" spans="1:5" x14ac:dyDescent="0.3">
      <c r="A2604" s="10">
        <v>159</v>
      </c>
      <c r="B2604" s="10">
        <v>30</v>
      </c>
      <c r="C2604" s="10" t="s">
        <v>36</v>
      </c>
      <c r="D2604" s="10" t="s">
        <v>1</v>
      </c>
      <c r="E2604" s="15">
        <f>3.52-2.649</f>
        <v>0.871</v>
      </c>
    </row>
    <row r="2605" spans="1:5" x14ac:dyDescent="0.3">
      <c r="A2605" s="10">
        <v>159</v>
      </c>
      <c r="B2605" s="10">
        <v>30</v>
      </c>
      <c r="C2605" s="10" t="s">
        <v>28</v>
      </c>
      <c r="D2605" s="10" t="s">
        <v>1</v>
      </c>
      <c r="E2605" s="15">
        <f>6.12-0.833-2.838-0.964-0.399-0.053-0.033</f>
        <v>0.99999999999999989</v>
      </c>
    </row>
    <row r="2606" spans="1:5" x14ac:dyDescent="0.3">
      <c r="A2606" s="10">
        <v>159</v>
      </c>
      <c r="B2606" s="10">
        <v>30</v>
      </c>
      <c r="C2606" s="10" t="s">
        <v>28</v>
      </c>
      <c r="D2606" s="10" t="s">
        <v>1</v>
      </c>
      <c r="E2606" s="15">
        <f>2.838+0.964</f>
        <v>3.802</v>
      </c>
    </row>
    <row r="2607" spans="1:5" x14ac:dyDescent="0.3">
      <c r="A2607" s="10">
        <v>159</v>
      </c>
      <c r="B2607" s="10">
        <v>30</v>
      </c>
      <c r="C2607" s="10" t="s">
        <v>30</v>
      </c>
      <c r="D2607" s="10" t="s">
        <v>1</v>
      </c>
      <c r="E2607" s="15">
        <f>0.8+2.245+2.455-0.83</f>
        <v>4.67</v>
      </c>
    </row>
    <row r="2608" spans="1:5" x14ac:dyDescent="0.3">
      <c r="A2608" s="8">
        <v>159</v>
      </c>
      <c r="B2608" s="8">
        <v>30</v>
      </c>
      <c r="C2608" s="8" t="s">
        <v>106</v>
      </c>
      <c r="D2608" s="8" t="s">
        <v>1</v>
      </c>
      <c r="E2608" s="9">
        <f>5.155-1.649-0.149-2.484-0.298-0.226-0.372+0.031</f>
        <v>8.0000000000002014E-3</v>
      </c>
    </row>
    <row r="2609" spans="1:5" x14ac:dyDescent="0.3">
      <c r="A2609" s="8">
        <v>159</v>
      </c>
      <c r="B2609" s="8">
        <v>30</v>
      </c>
      <c r="C2609" s="8" t="s">
        <v>106</v>
      </c>
      <c r="D2609" s="8" t="s">
        <v>1</v>
      </c>
      <c r="E2609" s="9">
        <f>2.484-1.651</f>
        <v>0.83299999999999996</v>
      </c>
    </row>
    <row r="2610" spans="1:5" x14ac:dyDescent="0.3">
      <c r="A2610" s="10">
        <v>159</v>
      </c>
      <c r="B2610" s="10">
        <v>32</v>
      </c>
      <c r="C2610" s="10">
        <v>20</v>
      </c>
      <c r="D2610" s="10" t="s">
        <v>1</v>
      </c>
      <c r="E2610" s="15">
        <f>5.355+5.47-0.221</f>
        <v>10.603999999999999</v>
      </c>
    </row>
    <row r="2611" spans="1:5" x14ac:dyDescent="0.3">
      <c r="A2611" s="8">
        <v>159</v>
      </c>
      <c r="B2611" s="8">
        <v>32</v>
      </c>
      <c r="C2611" s="8" t="s">
        <v>26</v>
      </c>
      <c r="D2611" s="8" t="s">
        <v>64</v>
      </c>
      <c r="E2611" s="9">
        <f>8.89+1.725</f>
        <v>10.615</v>
      </c>
    </row>
    <row r="2612" spans="1:5" x14ac:dyDescent="0.3">
      <c r="A2612" s="8">
        <v>159</v>
      </c>
      <c r="B2612" s="8">
        <v>32</v>
      </c>
      <c r="C2612" s="8">
        <v>35</v>
      </c>
      <c r="D2612" s="8" t="s">
        <v>1</v>
      </c>
      <c r="E2612" s="9">
        <v>5</v>
      </c>
    </row>
    <row r="2613" spans="1:5" x14ac:dyDescent="0.3">
      <c r="A2613" s="8">
        <v>159</v>
      </c>
      <c r="B2613" s="8">
        <v>32</v>
      </c>
      <c r="C2613" s="8">
        <v>45</v>
      </c>
      <c r="D2613" s="8" t="s">
        <v>1</v>
      </c>
      <c r="E2613" s="9">
        <v>5</v>
      </c>
    </row>
    <row r="2614" spans="1:5" x14ac:dyDescent="0.3">
      <c r="A2614" s="10">
        <v>159</v>
      </c>
      <c r="B2614" s="10">
        <v>32</v>
      </c>
      <c r="C2614" s="10" t="s">
        <v>28</v>
      </c>
      <c r="D2614" s="10" t="s">
        <v>1</v>
      </c>
      <c r="E2614" s="15">
        <f>0.795+4.765-0.803-1.618-0.819-0.809-0.103-0.648+5.05-0.095-1.729-0.081-0.071-0.509</f>
        <v>3.3249999999999988</v>
      </c>
    </row>
    <row r="2615" spans="1:5" x14ac:dyDescent="0.3">
      <c r="A2615" s="10">
        <v>159</v>
      </c>
      <c r="B2615" s="10">
        <v>32</v>
      </c>
      <c r="C2615" s="10" t="s">
        <v>28</v>
      </c>
      <c r="D2615" s="10" t="s">
        <v>1</v>
      </c>
      <c r="E2615" s="15">
        <f>2.49+1.729</f>
        <v>4.2190000000000003</v>
      </c>
    </row>
    <row r="2616" spans="1:5" x14ac:dyDescent="0.3">
      <c r="A2616" s="10">
        <v>159</v>
      </c>
      <c r="B2616" s="10">
        <v>32</v>
      </c>
      <c r="C2616" s="10" t="s">
        <v>30</v>
      </c>
      <c r="D2616" s="10" t="s">
        <v>1</v>
      </c>
      <c r="E2616" s="15">
        <f>19.72+7.573+13.079+3.412</f>
        <v>43.783999999999999</v>
      </c>
    </row>
    <row r="2617" spans="1:5" x14ac:dyDescent="0.3">
      <c r="A2617" s="10">
        <v>159</v>
      </c>
      <c r="B2617" s="10">
        <v>32</v>
      </c>
      <c r="C2617" s="10" t="s">
        <v>30</v>
      </c>
      <c r="D2617" s="10" t="s">
        <v>1</v>
      </c>
      <c r="E2617" s="15">
        <f>4.78+19.87+25.03-0.213-1.61-0.29-0.106-0.56-0.111-19.72-7.573-13.079-3.412</f>
        <v>3.0060000000000064</v>
      </c>
    </row>
    <row r="2618" spans="1:5" x14ac:dyDescent="0.3">
      <c r="A2618" s="10">
        <v>159</v>
      </c>
      <c r="B2618" s="10">
        <v>32</v>
      </c>
      <c r="C2618" s="10" t="s">
        <v>31</v>
      </c>
      <c r="D2618" s="10" t="s">
        <v>32</v>
      </c>
      <c r="E2618" s="15">
        <v>5.09</v>
      </c>
    </row>
    <row r="2619" spans="1:5" x14ac:dyDescent="0.3">
      <c r="A2619" s="10">
        <v>159</v>
      </c>
      <c r="B2619" s="10">
        <v>34</v>
      </c>
      <c r="C2619" s="10" t="s">
        <v>28</v>
      </c>
      <c r="D2619" s="10" t="s">
        <v>1</v>
      </c>
      <c r="E2619" s="15">
        <f>9.99-0.062-0.216-4.31</f>
        <v>5.4020000000000019</v>
      </c>
    </row>
    <row r="2620" spans="1:5" x14ac:dyDescent="0.3">
      <c r="A2620" s="10">
        <v>159</v>
      </c>
      <c r="B2620" s="10">
        <v>34</v>
      </c>
      <c r="C2620" s="10" t="s">
        <v>28</v>
      </c>
      <c r="D2620" s="10" t="s">
        <v>1</v>
      </c>
      <c r="E2620" s="15">
        <f>4.31-1.72</f>
        <v>2.59</v>
      </c>
    </row>
    <row r="2621" spans="1:5" x14ac:dyDescent="0.3">
      <c r="A2621" s="8">
        <v>159</v>
      </c>
      <c r="B2621" s="8">
        <v>34</v>
      </c>
      <c r="C2621" s="8" t="s">
        <v>30</v>
      </c>
      <c r="D2621" s="8" t="s">
        <v>1</v>
      </c>
      <c r="E2621" s="9">
        <v>10</v>
      </c>
    </row>
    <row r="2622" spans="1:5" x14ac:dyDescent="0.3">
      <c r="A2622" s="10">
        <v>159</v>
      </c>
      <c r="B2622" s="10">
        <v>35</v>
      </c>
      <c r="C2622" s="10">
        <v>45</v>
      </c>
      <c r="D2622" s="10" t="s">
        <v>1</v>
      </c>
      <c r="E2622" s="15">
        <f>9.995-0.928-0.157</f>
        <v>8.9099999999999984</v>
      </c>
    </row>
    <row r="2623" spans="1:5" x14ac:dyDescent="0.3">
      <c r="A2623" s="10">
        <v>159</v>
      </c>
      <c r="B2623" s="10">
        <v>36</v>
      </c>
      <c r="C2623" s="10">
        <v>20</v>
      </c>
      <c r="D2623" s="10" t="s">
        <v>1</v>
      </c>
      <c r="E2623" s="15">
        <f>6.63-0.445-0.031-0.429-0.085-0.112-0.305-0.035</f>
        <v>5.1879999999999997</v>
      </c>
    </row>
    <row r="2624" spans="1:5" x14ac:dyDescent="0.3">
      <c r="A2624" s="10">
        <v>159</v>
      </c>
      <c r="B2624" s="10">
        <v>36</v>
      </c>
      <c r="C2624" s="10" t="s">
        <v>26</v>
      </c>
      <c r="D2624" s="10" t="s">
        <v>64</v>
      </c>
      <c r="E2624" s="15">
        <f>9.53-3.206-0.396-0.027-2.407-0.202-0.8-0.799-0.072-0.252-0.115-0.357-0.027-0.216-0.071+0.075-0.038</f>
        <v>0.62</v>
      </c>
    </row>
    <row r="2625" spans="1:5" x14ac:dyDescent="0.3">
      <c r="A2625" s="8">
        <v>159</v>
      </c>
      <c r="B2625" s="8">
        <v>36</v>
      </c>
      <c r="C2625" s="8">
        <v>35</v>
      </c>
      <c r="D2625" s="8" t="s">
        <v>1</v>
      </c>
      <c r="E2625" s="9">
        <v>10</v>
      </c>
    </row>
    <row r="2626" spans="1:5" x14ac:dyDescent="0.3">
      <c r="A2626" s="8">
        <v>159</v>
      </c>
      <c r="B2626" s="8">
        <v>36</v>
      </c>
      <c r="C2626" s="8">
        <v>45</v>
      </c>
      <c r="D2626" s="8" t="s">
        <v>1</v>
      </c>
      <c r="E2626" s="9">
        <f>10.27-0.721-1.385-0.69-1.38-0.664-0.683-1.378-0.224-1.111+5.05-1.452-1.466+1.38-1.445-2.071-1.446-0.132-0.282</f>
        <v>0.16999999999999987</v>
      </c>
    </row>
    <row r="2627" spans="1:5" x14ac:dyDescent="0.3">
      <c r="A2627" s="10">
        <v>159</v>
      </c>
      <c r="B2627" s="10">
        <v>36</v>
      </c>
      <c r="C2627" s="10" t="s">
        <v>36</v>
      </c>
      <c r="D2627" s="10" t="s">
        <v>1</v>
      </c>
      <c r="E2627" s="15">
        <f>5.48-1.917-2.832</f>
        <v>0.73100000000000076</v>
      </c>
    </row>
    <row r="2628" spans="1:5" x14ac:dyDescent="0.3">
      <c r="A2628" s="10">
        <v>159</v>
      </c>
      <c r="B2628" s="10">
        <v>36</v>
      </c>
      <c r="C2628" s="10" t="s">
        <v>36</v>
      </c>
      <c r="D2628" s="10" t="s">
        <v>1</v>
      </c>
      <c r="E2628" s="15">
        <f>2.832-0.5</f>
        <v>2.3319999999999999</v>
      </c>
    </row>
    <row r="2629" spans="1:5" x14ac:dyDescent="0.3">
      <c r="A2629" s="10">
        <v>159</v>
      </c>
      <c r="B2629" s="10">
        <v>36</v>
      </c>
      <c r="C2629" s="10" t="s">
        <v>28</v>
      </c>
      <c r="D2629" s="10" t="s">
        <v>1</v>
      </c>
      <c r="E2629" s="15">
        <f>3.458-1.725-0.876-0.224-0.017+2.41+0.58+2.355-0.105-0.168-0.382-0.829</f>
        <v>4.4770000000000003</v>
      </c>
    </row>
    <row r="2630" spans="1:5" x14ac:dyDescent="0.3">
      <c r="A2630" s="10">
        <v>159</v>
      </c>
      <c r="B2630" s="10">
        <v>36</v>
      </c>
      <c r="C2630" s="10" t="s">
        <v>28</v>
      </c>
      <c r="D2630" s="10" t="s">
        <v>1</v>
      </c>
      <c r="E2630" s="15">
        <f>7-2.41-0.58-2.355</f>
        <v>1.6549999999999998</v>
      </c>
    </row>
    <row r="2631" spans="1:5" x14ac:dyDescent="0.3">
      <c r="A2631" s="10">
        <v>159</v>
      </c>
      <c r="B2631" s="10">
        <v>36</v>
      </c>
      <c r="C2631" s="10" t="s">
        <v>30</v>
      </c>
      <c r="D2631" s="10" t="s">
        <v>1</v>
      </c>
      <c r="E2631" s="15">
        <f>5.31-0.235-0.904-0.171-0.204-0.905-0.333-0.279-0.905-0.116-0.228-0.903-0.233+0.122+2.405-0.805-1.637+0.037</f>
        <v>1.5999999999998314E-2</v>
      </c>
    </row>
    <row r="2632" spans="1:5" x14ac:dyDescent="0.3">
      <c r="A2632" s="10">
        <v>159</v>
      </c>
      <c r="B2632" s="10">
        <v>36</v>
      </c>
      <c r="C2632" s="10" t="s">
        <v>30</v>
      </c>
      <c r="D2632" s="10" t="s">
        <v>1</v>
      </c>
      <c r="E2632" s="15">
        <f>2.39+2.935+1.637-0.132</f>
        <v>6.83</v>
      </c>
    </row>
    <row r="2633" spans="1:5" x14ac:dyDescent="0.3">
      <c r="A2633" s="10">
        <v>159</v>
      </c>
      <c r="B2633" s="10">
        <v>36</v>
      </c>
      <c r="C2633" s="10" t="s">
        <v>106</v>
      </c>
      <c r="D2633" s="10" t="s">
        <v>1</v>
      </c>
      <c r="E2633" s="15">
        <f>4.92-0.612-1.7-0.116</f>
        <v>2.4919999999999995</v>
      </c>
    </row>
    <row r="2634" spans="1:5" x14ac:dyDescent="0.3">
      <c r="A2634" s="10">
        <v>159</v>
      </c>
      <c r="B2634" s="10">
        <v>36</v>
      </c>
      <c r="C2634" s="10" t="s">
        <v>106</v>
      </c>
      <c r="D2634" s="10" t="s">
        <v>1</v>
      </c>
      <c r="E2634" s="15">
        <f>2.44+4.51</f>
        <v>6.9499999999999993</v>
      </c>
    </row>
    <row r="2635" spans="1:5" x14ac:dyDescent="0.3">
      <c r="A2635" s="10">
        <v>159</v>
      </c>
      <c r="B2635" s="10">
        <v>40</v>
      </c>
      <c r="C2635" s="10">
        <v>20</v>
      </c>
      <c r="D2635" s="10" t="s">
        <v>1</v>
      </c>
      <c r="E2635" s="15">
        <f>4.75-0.114-0.124-0.248-0.714-0.222</f>
        <v>3.3280000000000003</v>
      </c>
    </row>
    <row r="2636" spans="1:5" x14ac:dyDescent="0.3">
      <c r="A2636" s="10">
        <v>159</v>
      </c>
      <c r="B2636" s="10">
        <v>40</v>
      </c>
      <c r="C2636" s="10" t="s">
        <v>26</v>
      </c>
      <c r="D2636" s="10" t="s">
        <v>64</v>
      </c>
      <c r="E2636" s="15">
        <f>8.715-0.253-0.124-0.435-0.37-0.123-0.298-0.149-0.291-0.815-0.106-5.68+0.209-0.044</f>
        <v>0.23599999999999971</v>
      </c>
    </row>
    <row r="2637" spans="1:5" x14ac:dyDescent="0.3">
      <c r="A2637" s="10">
        <v>159</v>
      </c>
      <c r="B2637" s="10">
        <v>40</v>
      </c>
      <c r="C2637" s="10" t="s">
        <v>26</v>
      </c>
      <c r="D2637" s="10" t="s">
        <v>64</v>
      </c>
      <c r="E2637" s="15">
        <f>5.68-0.815</f>
        <v>4.8650000000000002</v>
      </c>
    </row>
    <row r="2638" spans="1:5" x14ac:dyDescent="0.3">
      <c r="A2638" s="8">
        <v>159</v>
      </c>
      <c r="B2638" s="8">
        <v>40</v>
      </c>
      <c r="C2638" s="8">
        <v>45</v>
      </c>
      <c r="D2638" s="8" t="s">
        <v>1</v>
      </c>
      <c r="E2638" s="9">
        <v>5</v>
      </c>
    </row>
    <row r="2639" spans="1:5" x14ac:dyDescent="0.3">
      <c r="A2639" s="10">
        <v>159</v>
      </c>
      <c r="B2639" s="10">
        <v>40</v>
      </c>
      <c r="C2639" s="10" t="s">
        <v>28</v>
      </c>
      <c r="D2639" s="10" t="s">
        <v>1</v>
      </c>
      <c r="E2639" s="15">
        <f>2.68+1.79-0.243-0.24-0.477</f>
        <v>3.5100000000000002</v>
      </c>
    </row>
    <row r="2640" spans="1:5" x14ac:dyDescent="0.3">
      <c r="A2640" s="8">
        <v>159</v>
      </c>
      <c r="B2640" s="8">
        <v>40</v>
      </c>
      <c r="C2640" s="8">
        <v>35</v>
      </c>
      <c r="D2640" s="8" t="s">
        <v>1</v>
      </c>
      <c r="E2640" s="9">
        <v>5</v>
      </c>
    </row>
    <row r="2641" spans="1:5" x14ac:dyDescent="0.3">
      <c r="A2641" s="10">
        <v>159</v>
      </c>
      <c r="B2641" s="10">
        <v>40</v>
      </c>
      <c r="C2641" s="10" t="s">
        <v>30</v>
      </c>
      <c r="D2641" s="10" t="s">
        <v>1</v>
      </c>
      <c r="E2641" s="15">
        <f>2.385+2.4+0.79-0.812-0.826</f>
        <v>3.9369999999999998</v>
      </c>
    </row>
    <row r="2642" spans="1:5" x14ac:dyDescent="0.3">
      <c r="A2642" s="8">
        <v>159</v>
      </c>
      <c r="B2642" s="8">
        <v>45</v>
      </c>
      <c r="C2642" s="8">
        <v>20</v>
      </c>
      <c r="D2642" s="8" t="s">
        <v>1</v>
      </c>
      <c r="E2642" s="9">
        <v>5</v>
      </c>
    </row>
    <row r="2643" spans="1:5" x14ac:dyDescent="0.3">
      <c r="A2643" s="8">
        <v>159</v>
      </c>
      <c r="B2643" s="8">
        <v>45</v>
      </c>
      <c r="C2643" s="8" t="s">
        <v>30</v>
      </c>
      <c r="D2643" s="8" t="s">
        <v>1</v>
      </c>
      <c r="E2643" s="9">
        <v>7</v>
      </c>
    </row>
    <row r="2644" spans="1:5" x14ac:dyDescent="0.3">
      <c r="A2644" s="10">
        <v>162</v>
      </c>
      <c r="B2644" s="10">
        <v>5</v>
      </c>
      <c r="C2644" s="10">
        <v>35</v>
      </c>
      <c r="D2644" s="10" t="s">
        <v>1</v>
      </c>
      <c r="E2644" s="15">
        <f>1.48+0.394+0.406+0.09-0.045-0.046-0.023</f>
        <v>2.2560000000000002</v>
      </c>
    </row>
    <row r="2645" spans="1:5" x14ac:dyDescent="0.3">
      <c r="A2645" s="10">
        <v>167</v>
      </c>
      <c r="B2645" s="10">
        <v>4</v>
      </c>
      <c r="C2645" s="10" t="s">
        <v>34</v>
      </c>
      <c r="D2645" s="10" t="s">
        <v>7</v>
      </c>
      <c r="E2645" s="15">
        <v>7.0000000000000007E-2</v>
      </c>
    </row>
    <row r="2646" spans="1:5" x14ac:dyDescent="0.3">
      <c r="A2646" s="8">
        <v>168</v>
      </c>
      <c r="B2646" s="8">
        <v>5</v>
      </c>
      <c r="C2646" s="8">
        <v>20</v>
      </c>
      <c r="D2646" s="8" t="s">
        <v>1</v>
      </c>
      <c r="E2646" s="15">
        <f>0.18-0.133-0.016+1.385-0.023-0.008-0.023-0.183-0.056-0.023-0.069-0.024-0.023-0.191-0.069-0.207-0.1-0.012-0.049+1.118-0.022+4.09-0.087-0.023-0.045-0.141-0.2-0.11-0.151-0.023-0.067-0.133-0.045-0.26-0.023-0.166-0.355-0.024-0.056-0.198-0.191</f>
        <v>3.2440000000000007</v>
      </c>
    </row>
    <row r="2647" spans="1:5" x14ac:dyDescent="0.3">
      <c r="A2647" s="10">
        <v>168</v>
      </c>
      <c r="B2647" s="10">
        <v>5</v>
      </c>
      <c r="C2647" s="10">
        <v>20</v>
      </c>
      <c r="D2647" s="10" t="s">
        <v>110</v>
      </c>
      <c r="E2647" s="15">
        <v>0.14000000000000001</v>
      </c>
    </row>
    <row r="2648" spans="1:5" x14ac:dyDescent="0.3">
      <c r="A2648" s="10">
        <v>168</v>
      </c>
      <c r="B2648" s="10">
        <v>5</v>
      </c>
      <c r="C2648" s="10" t="s">
        <v>26</v>
      </c>
      <c r="D2648" s="10" t="s">
        <v>64</v>
      </c>
      <c r="E2648" s="15">
        <f>4.812-0.022-0.192-0.372-0.009-0.043-0.204-0.015-0.095-0.184-0.039-0.085-0.012-0.17-0.195-0.314-0.022-0.097+1.07-0.022-0.043-0.072-0.186-0.088+1.306-0.066-0.182-0.416+0.518-0.038-0.119-0.008</f>
        <v>4.3959999999999981</v>
      </c>
    </row>
    <row r="2649" spans="1:5" x14ac:dyDescent="0.3">
      <c r="A2649" s="10">
        <v>168</v>
      </c>
      <c r="B2649" s="10">
        <v>5</v>
      </c>
      <c r="C2649" s="10">
        <v>45</v>
      </c>
      <c r="D2649" s="10" t="s">
        <v>1</v>
      </c>
      <c r="E2649" s="15">
        <f>1.702+3.834+2.678-0.14-0.036-0.143-0.005-1.58-0.215</f>
        <v>6.0949999999999989</v>
      </c>
    </row>
    <row r="2650" spans="1:5" x14ac:dyDescent="0.3">
      <c r="A2650" s="10">
        <v>168</v>
      </c>
      <c r="B2650" s="10">
        <v>6</v>
      </c>
      <c r="C2650" s="10">
        <v>20</v>
      </c>
      <c r="D2650" s="10" t="s">
        <v>1</v>
      </c>
      <c r="E2650" s="15">
        <f>0.514-0.064-0.36+0.027+0.13-0.131-0.03+0.445-0.445-0.011</f>
        <v>7.5000000000000025E-2</v>
      </c>
    </row>
    <row r="2651" spans="1:5" x14ac:dyDescent="0.3">
      <c r="A2651" s="10">
        <v>168</v>
      </c>
      <c r="B2651" s="10">
        <v>6</v>
      </c>
      <c r="C2651" s="10">
        <v>20</v>
      </c>
      <c r="D2651" s="10" t="s">
        <v>1</v>
      </c>
      <c r="E2651" s="15">
        <f>0.445+0.011+0.91-0.011-0.222+0.104-0.114-0.008-0.07-0.937-0.027-0.053-0.058+0.037</f>
        <v>7.0000000000000964E-3</v>
      </c>
    </row>
    <row r="2652" spans="1:5" x14ac:dyDescent="0.3">
      <c r="A2652" s="10">
        <v>168</v>
      </c>
      <c r="B2652" s="10">
        <v>6</v>
      </c>
      <c r="C2652" s="10">
        <v>20</v>
      </c>
      <c r="D2652" s="10" t="s">
        <v>1</v>
      </c>
      <c r="E2652" s="15">
        <f>4.212-0.126+0.71-0.13-0.069-0.027-0.028-0.066</f>
        <v>4.476</v>
      </c>
    </row>
    <row r="2653" spans="1:5" x14ac:dyDescent="0.3">
      <c r="A2653" s="8">
        <v>168</v>
      </c>
      <c r="B2653" s="8">
        <v>6</v>
      </c>
      <c r="C2653" s="8" t="s">
        <v>39</v>
      </c>
      <c r="D2653" s="8" t="s">
        <v>1</v>
      </c>
      <c r="E2653" s="9">
        <v>0.70799999999999996</v>
      </c>
    </row>
    <row r="2654" spans="1:5" x14ac:dyDescent="0.3">
      <c r="A2654" s="8">
        <v>168</v>
      </c>
      <c r="B2654" s="8">
        <v>6</v>
      </c>
      <c r="C2654" s="8">
        <v>45</v>
      </c>
      <c r="D2654" s="8" t="s">
        <v>1</v>
      </c>
      <c r="E2654" s="9">
        <v>0.73</v>
      </c>
    </row>
    <row r="2655" spans="1:5" x14ac:dyDescent="0.3">
      <c r="A2655" s="10">
        <v>168</v>
      </c>
      <c r="B2655" s="10">
        <v>6</v>
      </c>
      <c r="C2655" s="10" t="s">
        <v>26</v>
      </c>
      <c r="D2655" s="10" t="s">
        <v>7</v>
      </c>
      <c r="E2655" s="15">
        <v>0.14399999999999999</v>
      </c>
    </row>
    <row r="2656" spans="1:5" x14ac:dyDescent="0.3">
      <c r="A2656" s="10">
        <v>168</v>
      </c>
      <c r="B2656" s="10">
        <v>6</v>
      </c>
      <c r="C2656" s="10" t="s">
        <v>26</v>
      </c>
      <c r="D2656" s="10" t="s">
        <v>1</v>
      </c>
      <c r="E2656" s="15">
        <f>5.416-0.027-0.059-0.036-0.014-0.023-0.081-0.076-0.026-0.035-0.039-0.064-0.151-0.009-0.15-0.968-0.164-0.079-0.036-0.414-0.039-0.24-0.014-0.154-0.241-0.246-0.24-0.007-0.157-0.077-0.012-0.039-0.242-0.022-0.16-0.054-0.187-0.076+0.592-0.088-0.027-0.012-0.242-0.15-0.027+1.4+0.564-0.196-0.045</f>
        <v>2.5270000000000001</v>
      </c>
    </row>
    <row r="2657" spans="1:5" x14ac:dyDescent="0.3">
      <c r="A2657" s="8">
        <v>168</v>
      </c>
      <c r="B2657" s="8">
        <v>6</v>
      </c>
      <c r="C2657" s="8" t="s">
        <v>37</v>
      </c>
      <c r="D2657" s="8" t="s">
        <v>143</v>
      </c>
      <c r="E2657" s="9">
        <v>5.1559999999999997</v>
      </c>
    </row>
    <row r="2658" spans="1:5" x14ac:dyDescent="0.3">
      <c r="A2658" s="8">
        <v>168</v>
      </c>
      <c r="B2658" s="8">
        <v>6</v>
      </c>
      <c r="C2658" s="8" t="s">
        <v>29</v>
      </c>
      <c r="D2658" s="8" t="s">
        <v>3</v>
      </c>
      <c r="E2658" s="9">
        <f>0.23+0.247</f>
        <v>0.47699999999999998</v>
      </c>
    </row>
    <row r="2659" spans="1:5" x14ac:dyDescent="0.3">
      <c r="A2659" s="8">
        <v>168</v>
      </c>
      <c r="B2659" s="8">
        <v>6.5</v>
      </c>
      <c r="C2659" s="10">
        <v>20</v>
      </c>
      <c r="D2659" s="10" t="s">
        <v>1</v>
      </c>
      <c r="E2659" s="9">
        <f>0.185-0.005-0.035</f>
        <v>0.14499999999999999</v>
      </c>
    </row>
    <row r="2660" spans="1:5" x14ac:dyDescent="0.3">
      <c r="A2660" s="10">
        <v>168</v>
      </c>
      <c r="B2660" s="10">
        <v>7</v>
      </c>
      <c r="C2660" s="10">
        <v>20</v>
      </c>
      <c r="D2660" s="10" t="s">
        <v>1</v>
      </c>
      <c r="E2660" s="15">
        <f>4.906-0.316+0.798+1.934+0.155+1.77-0.12-0.058-0.02+0.325-0.069+0.252-0.127-0.581-0.252-0.17-0.608-0.008-0.01-0.104-0.419-0.041-0.016-0.038-6.52-0.729+0.416-0.684+0.35</f>
        <v>1.6000000000000181E-2</v>
      </c>
    </row>
    <row r="2661" spans="1:5" x14ac:dyDescent="0.3">
      <c r="A2661" s="10">
        <v>168</v>
      </c>
      <c r="B2661" s="10">
        <v>7</v>
      </c>
      <c r="C2661" s="10">
        <v>20</v>
      </c>
      <c r="D2661" s="10" t="s">
        <v>1</v>
      </c>
      <c r="E2661" s="15">
        <f>6.52+0.729+0.684-0.255+0.163-0.062-0.064-0.393-0.031-0.027-0.035-0.163-0.111-0.007-0.018-0.021-0.112-0.033-0.254-0.067-0.04-0.018-0.037</f>
        <v>6.3479999999999999</v>
      </c>
    </row>
    <row r="2662" spans="1:5" x14ac:dyDescent="0.3">
      <c r="A2662" s="10">
        <v>168</v>
      </c>
      <c r="B2662" s="10">
        <v>7</v>
      </c>
      <c r="C2662" s="10" t="s">
        <v>26</v>
      </c>
      <c r="D2662" s="10" t="s">
        <v>7</v>
      </c>
      <c r="E2662" s="15">
        <f>0.326-0.049+0.214-0.03-0.172-0.217</f>
        <v>7.1999999999999981E-2</v>
      </c>
    </row>
    <row r="2663" spans="1:5" x14ac:dyDescent="0.3">
      <c r="A2663" s="10">
        <v>168</v>
      </c>
      <c r="B2663" s="10">
        <v>7</v>
      </c>
      <c r="C2663" s="10" t="s">
        <v>26</v>
      </c>
      <c r="D2663" s="10" t="s">
        <v>1</v>
      </c>
      <c r="E2663" s="15">
        <f>0.824-0.173-0.153-0.068-0.03-0.03-0.03+2.472+1.674+2.32-0.009-0.278-2.32-1.4-2.472-0.174-0.089</f>
        <v>6.3999999999998197E-2</v>
      </c>
    </row>
    <row r="2664" spans="1:5" x14ac:dyDescent="0.3">
      <c r="A2664" s="10">
        <v>168</v>
      </c>
      <c r="B2664" s="10">
        <v>7</v>
      </c>
      <c r="C2664" s="10" t="s">
        <v>26</v>
      </c>
      <c r="D2664" s="10" t="s">
        <v>1</v>
      </c>
      <c r="E2664" s="15">
        <f>2.32+1.4-0.977-0.06+2.472-0.243-0.089-1.1-0.115-0.089-0.038-0.646-0.018-0.005-1.53+0.174-1.14+0.813+0.21-0.019-0.037-0.06-0.007-0.149</f>
        <v>1.0669999999999991</v>
      </c>
    </row>
    <row r="2665" spans="1:5" x14ac:dyDescent="0.3">
      <c r="A2665" s="10">
        <v>168</v>
      </c>
      <c r="B2665" s="10">
        <v>7</v>
      </c>
      <c r="C2665" s="10" t="s">
        <v>26</v>
      </c>
      <c r="D2665" s="10" t="s">
        <v>64</v>
      </c>
      <c r="E2665" s="15">
        <f>1.284-0.086-0.27+0.508+4.744-0.177-0.071-0.016-0.177-0.086-0.089-0.077-0.089-0.017-0.177-0.098-0.098</f>
        <v>5.008</v>
      </c>
    </row>
    <row r="2666" spans="1:5" x14ac:dyDescent="0.3">
      <c r="A2666" s="10">
        <v>168</v>
      </c>
      <c r="B2666" s="10">
        <v>7</v>
      </c>
      <c r="C2666" s="10">
        <v>35</v>
      </c>
      <c r="D2666" s="10" t="s">
        <v>1</v>
      </c>
      <c r="E2666" s="15">
        <v>2.891</v>
      </c>
    </row>
    <row r="2667" spans="1:5" x14ac:dyDescent="0.3">
      <c r="A2667" s="10">
        <v>168</v>
      </c>
      <c r="B2667" s="10">
        <v>7</v>
      </c>
      <c r="C2667" s="10">
        <v>45</v>
      </c>
      <c r="D2667" s="10" t="s">
        <v>1</v>
      </c>
      <c r="E2667" s="15">
        <f>5.247+0.29-5.63+0.383</f>
        <v>0.29000000000000004</v>
      </c>
    </row>
    <row r="2668" spans="1:5" x14ac:dyDescent="0.3">
      <c r="A2668" s="10">
        <v>168</v>
      </c>
      <c r="B2668" s="10">
        <v>7</v>
      </c>
      <c r="C2668" s="10">
        <v>45</v>
      </c>
      <c r="D2668" s="10" t="s">
        <v>1</v>
      </c>
      <c r="E2668" s="15">
        <f>5.63-0.031-0.258</f>
        <v>5.3410000000000002</v>
      </c>
    </row>
    <row r="2669" spans="1:5" x14ac:dyDescent="0.3">
      <c r="A2669" s="10">
        <v>168</v>
      </c>
      <c r="B2669" s="10">
        <v>8</v>
      </c>
      <c r="C2669" s="10">
        <v>20</v>
      </c>
      <c r="D2669" s="10" t="s">
        <v>7</v>
      </c>
      <c r="E2669" s="15">
        <f>0.521+0.081+0.07+0.127+0.215+0.039-0.02-0.02-0.162-0.07</f>
        <v>0.78099999999999992</v>
      </c>
    </row>
    <row r="2670" spans="1:5" x14ac:dyDescent="0.3">
      <c r="A2670" s="13">
        <v>168</v>
      </c>
      <c r="B2670" s="13">
        <v>8</v>
      </c>
      <c r="C2670" s="13">
        <v>20</v>
      </c>
      <c r="D2670" s="13" t="s">
        <v>1</v>
      </c>
      <c r="E2670" s="16">
        <f>4.865-0.082-0.066+0.139+0.411-0.065+2.042+0.909-0.046-0.051-0.205-0.009+0.155-0.034-0.021-0.037-0.039-0.04-0.329-0.012+0.334-0.011-0.101-0.077-0.008-0.026-0.033-4.56-0.155-0.236-0.449-0.075-0.04-0.106</f>
        <v>1.9420000000000017</v>
      </c>
    </row>
    <row r="2671" spans="1:5" x14ac:dyDescent="0.3">
      <c r="A2671" s="10">
        <v>168</v>
      </c>
      <c r="B2671" s="10">
        <v>8</v>
      </c>
      <c r="C2671" s="10">
        <v>20</v>
      </c>
      <c r="D2671" s="10" t="s">
        <v>1</v>
      </c>
      <c r="E2671" s="15">
        <f>0.27-0.026+4.56+0.155+0.236+0.449-0.019+0.237-0.36+0.188-0.144-0.066-0.025-0.019-0.074-0.022-0.005-0.097-0.139+0.075-0.015-0.307-0.024-0.035-0.019-0.044-0.715-0.068-0.082-0.061+0.106-0.059</f>
        <v>3.8509999999999978</v>
      </c>
    </row>
    <row r="2672" spans="1:5" x14ac:dyDescent="0.3">
      <c r="A2672" s="10">
        <v>168</v>
      </c>
      <c r="B2672" s="10">
        <v>8</v>
      </c>
      <c r="C2672" s="10">
        <v>20</v>
      </c>
      <c r="D2672" s="10" t="s">
        <v>1</v>
      </c>
      <c r="E2672" s="15">
        <v>0.109</v>
      </c>
    </row>
    <row r="2673" spans="1:5" x14ac:dyDescent="0.3">
      <c r="A2673" s="10">
        <v>168</v>
      </c>
      <c r="B2673" s="10">
        <v>8</v>
      </c>
      <c r="C2673" s="10">
        <v>20</v>
      </c>
      <c r="D2673" s="10" t="s">
        <v>8</v>
      </c>
      <c r="E2673" s="15">
        <f>3.4+0.279-0.28+0.051</f>
        <v>3.45</v>
      </c>
    </row>
    <row r="2674" spans="1:5" x14ac:dyDescent="0.3">
      <c r="A2674" s="12">
        <v>168</v>
      </c>
      <c r="B2674" s="12">
        <v>8</v>
      </c>
      <c r="C2674" s="12" t="s">
        <v>39</v>
      </c>
      <c r="D2674" s="8" t="s">
        <v>46</v>
      </c>
      <c r="E2674" s="15">
        <v>0.52600000000000002</v>
      </c>
    </row>
    <row r="2675" spans="1:5" x14ac:dyDescent="0.3">
      <c r="A2675" s="10">
        <v>168</v>
      </c>
      <c r="B2675" s="10">
        <v>8</v>
      </c>
      <c r="C2675" s="8" t="s">
        <v>26</v>
      </c>
      <c r="D2675" s="8" t="s">
        <v>7</v>
      </c>
      <c r="E2675" s="15">
        <f>0.331+0.184-0.098-0.009-0.13-0.05</f>
        <v>0.22800000000000004</v>
      </c>
    </row>
    <row r="2676" spans="1:5" x14ac:dyDescent="0.3">
      <c r="A2676" s="10">
        <v>168</v>
      </c>
      <c r="B2676" s="10">
        <v>8</v>
      </c>
      <c r="C2676" s="10" t="s">
        <v>26</v>
      </c>
      <c r="D2676" s="10" t="s">
        <v>1</v>
      </c>
      <c r="E2676" s="15">
        <f>0.68+5.22+3.88+0.455-9.81+0.47-0.17-0.087-0.044+0.228-0.033-0.012-0.268-0.103+0.158+0.049-0.035-0.031+0.29-0.264-0.041-0.094-0.036-0.188-0.045-0.014-0.034-0.019-0.01</f>
        <v>9.199999999999886E-2</v>
      </c>
    </row>
    <row r="2677" spans="1:5" x14ac:dyDescent="0.3">
      <c r="A2677" s="10">
        <v>168</v>
      </c>
      <c r="B2677" s="10">
        <v>8</v>
      </c>
      <c r="C2677" s="10" t="s">
        <v>26</v>
      </c>
      <c r="D2677" s="10" t="s">
        <v>64</v>
      </c>
      <c r="E2677" s="15">
        <f>7.566-0.298-0.298+1.656-0.067-0.318-0.1-0.034-0.084-0.051-0.035-0.068-0.052-0.232-0.058-0.078-0.133-0.199-1.353</f>
        <v>5.7640000000000002</v>
      </c>
    </row>
    <row r="2678" spans="1:5" x14ac:dyDescent="0.3">
      <c r="A2678" s="8">
        <v>168</v>
      </c>
      <c r="B2678" s="8">
        <v>8</v>
      </c>
      <c r="C2678" s="8" t="s">
        <v>26</v>
      </c>
      <c r="D2678" s="8" t="s">
        <v>2</v>
      </c>
      <c r="E2678" s="9">
        <v>0.63100000000000001</v>
      </c>
    </row>
    <row r="2679" spans="1:5" x14ac:dyDescent="0.3">
      <c r="A2679" s="10">
        <v>168</v>
      </c>
      <c r="B2679" s="10">
        <v>8</v>
      </c>
      <c r="C2679" s="10" t="s">
        <v>21</v>
      </c>
      <c r="D2679" s="10" t="s">
        <v>7</v>
      </c>
      <c r="E2679" s="15">
        <f>0.366-0.034</f>
        <v>0.33199999999999996</v>
      </c>
    </row>
    <row r="2680" spans="1:5" x14ac:dyDescent="0.3">
      <c r="A2680" s="10">
        <v>168</v>
      </c>
      <c r="B2680" s="10">
        <v>8</v>
      </c>
      <c r="C2680" s="10" t="s">
        <v>37</v>
      </c>
      <c r="D2680" s="10" t="s">
        <v>1</v>
      </c>
      <c r="E2680" s="15">
        <v>1.4079999999999999</v>
      </c>
    </row>
    <row r="2681" spans="1:5" x14ac:dyDescent="0.3">
      <c r="A2681" s="8">
        <v>168</v>
      </c>
      <c r="B2681" s="8">
        <v>8</v>
      </c>
      <c r="C2681" s="8" t="s">
        <v>37</v>
      </c>
      <c r="D2681" s="8" t="s">
        <v>143</v>
      </c>
      <c r="E2681" s="9">
        <f>1.427+2.09</f>
        <v>3.5169999999999999</v>
      </c>
    </row>
    <row r="2682" spans="1:5" x14ac:dyDescent="0.3">
      <c r="A2682" s="10">
        <v>168</v>
      </c>
      <c r="B2682" s="10">
        <v>8</v>
      </c>
      <c r="C2682" s="10" t="s">
        <v>28</v>
      </c>
      <c r="D2682" s="10" t="s">
        <v>1</v>
      </c>
      <c r="E2682" s="15">
        <v>5.49</v>
      </c>
    </row>
    <row r="2683" spans="1:5" x14ac:dyDescent="0.3">
      <c r="A2683" s="10">
        <v>168.3</v>
      </c>
      <c r="B2683" s="10">
        <v>8</v>
      </c>
      <c r="C2683" s="10" t="s">
        <v>43</v>
      </c>
      <c r="D2683" s="10" t="s">
        <v>156</v>
      </c>
      <c r="E2683" s="15">
        <v>0.21299999999999999</v>
      </c>
    </row>
    <row r="2684" spans="1:5" x14ac:dyDescent="0.3">
      <c r="A2684" s="8">
        <v>168</v>
      </c>
      <c r="B2684" s="8">
        <v>8</v>
      </c>
      <c r="C2684" s="8" t="s">
        <v>29</v>
      </c>
      <c r="D2684" s="8" t="s">
        <v>3</v>
      </c>
      <c r="E2684" s="9">
        <v>11.29</v>
      </c>
    </row>
    <row r="2685" spans="1:5" x14ac:dyDescent="0.3">
      <c r="A2685" s="10">
        <v>168</v>
      </c>
      <c r="B2685" s="10">
        <v>9</v>
      </c>
      <c r="C2685" s="10">
        <v>20</v>
      </c>
      <c r="D2685" s="10" t="s">
        <v>1</v>
      </c>
      <c r="E2685" s="15">
        <f>0.088-0.014-0.009-0.012-0.019</f>
        <v>3.4000000000000002E-2</v>
      </c>
    </row>
    <row r="2686" spans="1:5" x14ac:dyDescent="0.3">
      <c r="A2686" s="10">
        <v>168</v>
      </c>
      <c r="B2686" s="10">
        <v>9</v>
      </c>
      <c r="C2686" s="10" t="s">
        <v>26</v>
      </c>
      <c r="D2686" s="10" t="s">
        <v>7</v>
      </c>
      <c r="E2686" s="15">
        <f>3.79-0.11-3.28</f>
        <v>0.40000000000000036</v>
      </c>
    </row>
    <row r="2687" spans="1:5" x14ac:dyDescent="0.3">
      <c r="A2687" s="10">
        <v>168</v>
      </c>
      <c r="B2687" s="10">
        <v>9</v>
      </c>
      <c r="C2687" s="10" t="s">
        <v>26</v>
      </c>
      <c r="D2687" s="10" t="s">
        <v>7</v>
      </c>
      <c r="E2687" s="15">
        <v>3.28</v>
      </c>
    </row>
    <row r="2688" spans="1:5" x14ac:dyDescent="0.3">
      <c r="A2688" s="10">
        <v>168</v>
      </c>
      <c r="B2688" s="10">
        <v>9</v>
      </c>
      <c r="C2688" s="10" t="s">
        <v>26</v>
      </c>
      <c r="D2688" s="10" t="s">
        <v>1</v>
      </c>
      <c r="E2688" s="15">
        <f>1.429-0.037-0.038+0.402-0.402+1.182-0.697-1.182</f>
        <v>0.65700000000000003</v>
      </c>
    </row>
    <row r="2689" spans="1:5" x14ac:dyDescent="0.3">
      <c r="A2689" s="10">
        <v>168</v>
      </c>
      <c r="B2689" s="10">
        <v>9</v>
      </c>
      <c r="C2689" s="10" t="s">
        <v>26</v>
      </c>
      <c r="D2689" s="10" t="s">
        <v>1</v>
      </c>
      <c r="E2689" s="15">
        <f>0.697+1.182-0.084-0.173-0.181-0.311-0.127-0.329-0.056-0.02-0.056</f>
        <v>0.54199999999999982</v>
      </c>
    </row>
    <row r="2690" spans="1:5" x14ac:dyDescent="0.3">
      <c r="A2690" s="10">
        <v>168</v>
      </c>
      <c r="B2690" s="10">
        <v>9</v>
      </c>
      <c r="C2690" s="10">
        <v>35</v>
      </c>
      <c r="D2690" s="10" t="s">
        <v>1</v>
      </c>
      <c r="E2690" s="15">
        <v>8.01</v>
      </c>
    </row>
    <row r="2691" spans="1:5" x14ac:dyDescent="0.3">
      <c r="A2691" s="10">
        <v>168</v>
      </c>
      <c r="B2691" s="10">
        <v>9</v>
      </c>
      <c r="C2691" s="10">
        <v>45</v>
      </c>
      <c r="D2691" s="10" t="s">
        <v>1</v>
      </c>
      <c r="E2691" s="15">
        <f>4.71-0.181+0.703+0.163-0.165-0.11-0.038-0.023+0.383-2.215</f>
        <v>3.2270000000000003</v>
      </c>
    </row>
    <row r="2692" spans="1:5" x14ac:dyDescent="0.3">
      <c r="A2692" s="8">
        <v>168</v>
      </c>
      <c r="B2692" s="8">
        <v>10</v>
      </c>
      <c r="C2692" s="13">
        <v>20</v>
      </c>
      <c r="D2692" s="8" t="s">
        <v>7</v>
      </c>
      <c r="E2692" s="9">
        <f>0.31+0.008-0.038-0.023</f>
        <v>0.25700000000000001</v>
      </c>
    </row>
    <row r="2693" spans="1:5" x14ac:dyDescent="0.3">
      <c r="A2693" s="10">
        <v>168</v>
      </c>
      <c r="B2693" s="10">
        <v>10</v>
      </c>
      <c r="C2693" s="10">
        <v>20</v>
      </c>
      <c r="D2693" s="10" t="s">
        <v>1</v>
      </c>
      <c r="E2693" s="15">
        <f>0.338+0.79-0.38+0.304-0.011-0.293+0.312-0.064-0.076-0.046-0.078+0.368-0.082-0.338-0.133-0.029-0.027-0.016-0.035</f>
        <v>0.50399999999999989</v>
      </c>
    </row>
    <row r="2694" spans="1:5" x14ac:dyDescent="0.3">
      <c r="A2694" s="8">
        <v>168</v>
      </c>
      <c r="B2694" s="8">
        <v>10</v>
      </c>
      <c r="C2694" s="13">
        <v>20</v>
      </c>
      <c r="D2694" s="8" t="s">
        <v>1</v>
      </c>
      <c r="E2694" s="9">
        <f>1.661-0.012-0.024-0.033-0.022-0.024-0.045+0.298-0.015-0.665-0.174-0.063</f>
        <v>0.88200000000000034</v>
      </c>
    </row>
    <row r="2695" spans="1:5" x14ac:dyDescent="0.3">
      <c r="A2695" s="8">
        <v>168</v>
      </c>
      <c r="B2695" s="8">
        <v>10</v>
      </c>
      <c r="C2695" s="8">
        <v>20</v>
      </c>
      <c r="D2695" s="8" t="s">
        <v>32</v>
      </c>
      <c r="E2695" s="9">
        <f>6.03-5.366</f>
        <v>0.66400000000000059</v>
      </c>
    </row>
    <row r="2696" spans="1:5" x14ac:dyDescent="0.3">
      <c r="A2696" s="8">
        <v>168</v>
      </c>
      <c r="B2696" s="8">
        <v>10</v>
      </c>
      <c r="C2696" s="13">
        <v>20</v>
      </c>
      <c r="D2696" s="8" t="s">
        <v>32</v>
      </c>
      <c r="E2696" s="9">
        <f>5.366+0.304-1.661</f>
        <v>4.0090000000000003</v>
      </c>
    </row>
    <row r="2697" spans="1:5" x14ac:dyDescent="0.3">
      <c r="A2697" s="10">
        <v>168</v>
      </c>
      <c r="B2697" s="10">
        <v>10</v>
      </c>
      <c r="C2697" s="10" t="s">
        <v>26</v>
      </c>
      <c r="D2697" s="10" t="s">
        <v>1</v>
      </c>
      <c r="E2697" s="15">
        <f>3.519-0.026-0.225-0.504+0.293+0.415-0.082-0.041-0.042-0.026-0.202-0.101+2.558-0.02+0.848-0.047-0.17-0.24-0.064-0.012-0.029-0.017-0.236-3.254-0.024-0.024-0.047-0.05-0.415-0.134-0.013-0.422-0.461-0.094-0.044-0.162-0.084-0.343+0.034</f>
        <v>1.2000000000002203E-2</v>
      </c>
    </row>
    <row r="2698" spans="1:5" x14ac:dyDescent="0.3">
      <c r="A2698" s="10">
        <v>168</v>
      </c>
      <c r="B2698" s="10">
        <v>10</v>
      </c>
      <c r="C2698" s="10" t="s">
        <v>26</v>
      </c>
      <c r="D2698" s="10" t="s">
        <v>1</v>
      </c>
      <c r="E2698" s="15">
        <f>0.415+0.461+0.044-0.022-0.23+0.162-0.232+0.084-0.022-0.042-0.082-0.082-0.024-0.024-0.24-0.09-0.024+0.461-0.024-0.126-0.086+0.343-0.082-0.26-0.024</f>
        <v>0.25400000000000011</v>
      </c>
    </row>
    <row r="2699" spans="1:5" x14ac:dyDescent="0.3">
      <c r="A2699" s="12">
        <v>168</v>
      </c>
      <c r="B2699" s="12">
        <v>10</v>
      </c>
      <c r="C2699" s="12" t="s">
        <v>26</v>
      </c>
      <c r="D2699" s="8" t="s">
        <v>64</v>
      </c>
      <c r="E2699" s="15">
        <f>4.926-0.009-0.042-0.268-0.987-0.036-0.023+0.31-0.036-0.042+2.19-0.038-0.033-0.022-0.33-0.088-0.054-0.031-0.032-0.063-0.03-0.018-0.014+0.52-0.329-0.247-0.062-0.015-0.108-0.082</f>
        <v>4.9070000000000009</v>
      </c>
    </row>
    <row r="2700" spans="1:5" x14ac:dyDescent="0.3">
      <c r="A2700" s="8">
        <v>168</v>
      </c>
      <c r="B2700" s="8">
        <v>10</v>
      </c>
      <c r="C2700" s="8" t="s">
        <v>26</v>
      </c>
      <c r="D2700" s="8" t="s">
        <v>46</v>
      </c>
      <c r="E2700" s="9">
        <f>5.29+4.194</f>
        <v>9.484</v>
      </c>
    </row>
    <row r="2701" spans="1:5" x14ac:dyDescent="0.3">
      <c r="A2701" s="10">
        <v>168</v>
      </c>
      <c r="B2701" s="10">
        <v>10</v>
      </c>
      <c r="C2701" s="10" t="s">
        <v>35</v>
      </c>
      <c r="D2701" s="10" t="s">
        <v>1</v>
      </c>
      <c r="E2701" s="15">
        <f>1.085-0.244-0.047-0.162</f>
        <v>0.6319999999999999</v>
      </c>
    </row>
    <row r="2702" spans="1:5" x14ac:dyDescent="0.3">
      <c r="A2702" s="10">
        <v>168</v>
      </c>
      <c r="B2702" s="10">
        <v>10</v>
      </c>
      <c r="C2702" s="10">
        <v>45</v>
      </c>
      <c r="D2702" s="10" t="s">
        <v>1</v>
      </c>
      <c r="E2702" s="15">
        <f>5.038-0.061-0.292-0.042-0.082-0.096</f>
        <v>4.4650000000000007</v>
      </c>
    </row>
    <row r="2703" spans="1:5" x14ac:dyDescent="0.3">
      <c r="A2703" s="10">
        <v>168</v>
      </c>
      <c r="B2703" s="10">
        <v>10</v>
      </c>
      <c r="C2703" s="10" t="s">
        <v>14</v>
      </c>
      <c r="D2703" s="10" t="s">
        <v>119</v>
      </c>
      <c r="E2703" s="15">
        <v>4.915</v>
      </c>
    </row>
    <row r="2704" spans="1:5" x14ac:dyDescent="0.3">
      <c r="A2704" s="8">
        <v>168</v>
      </c>
      <c r="B2704" s="8">
        <v>10</v>
      </c>
      <c r="C2704" s="8" t="s">
        <v>37</v>
      </c>
      <c r="D2704" s="8" t="s">
        <v>143</v>
      </c>
      <c r="E2704" s="9">
        <f>2.903-0.242-0.649</f>
        <v>2.012</v>
      </c>
    </row>
    <row r="2705" spans="1:5" x14ac:dyDescent="0.3">
      <c r="A2705" s="10">
        <v>168</v>
      </c>
      <c r="B2705" s="10">
        <v>10</v>
      </c>
      <c r="C2705" s="10" t="s">
        <v>28</v>
      </c>
      <c r="D2705" s="10" t="s">
        <v>1</v>
      </c>
      <c r="E2705" s="15">
        <f>2.175+2.365-0.369+0.63</f>
        <v>4.8010000000000002</v>
      </c>
    </row>
    <row r="2706" spans="1:5" x14ac:dyDescent="0.3">
      <c r="A2706" s="10">
        <v>168</v>
      </c>
      <c r="B2706" s="10">
        <v>10</v>
      </c>
      <c r="C2706" s="10" t="s">
        <v>30</v>
      </c>
      <c r="D2706" s="10" t="s">
        <v>1</v>
      </c>
      <c r="E2706" s="15">
        <f>3-1.014-0.406-0.369-0.042-0.039+4.41+1.115</f>
        <v>6.6550000000000002</v>
      </c>
    </row>
    <row r="2707" spans="1:5" x14ac:dyDescent="0.3">
      <c r="A2707" s="10">
        <v>168</v>
      </c>
      <c r="B2707" s="10">
        <v>10</v>
      </c>
      <c r="C2707" s="10" t="s">
        <v>30</v>
      </c>
      <c r="D2707" s="10" t="s">
        <v>1</v>
      </c>
      <c r="E2707" s="15">
        <f>5-4.41</f>
        <v>0.58999999999999986</v>
      </c>
    </row>
    <row r="2708" spans="1:5" x14ac:dyDescent="0.3">
      <c r="A2708" s="10">
        <v>168</v>
      </c>
      <c r="B2708" s="10">
        <v>10</v>
      </c>
      <c r="C2708" s="10" t="s">
        <v>30</v>
      </c>
      <c r="D2708" s="10" t="s">
        <v>1</v>
      </c>
      <c r="E2708" s="15">
        <v>5</v>
      </c>
    </row>
    <row r="2709" spans="1:5" x14ac:dyDescent="0.3">
      <c r="A2709" s="10">
        <v>168</v>
      </c>
      <c r="B2709" s="10">
        <v>10</v>
      </c>
      <c r="C2709" s="10" t="s">
        <v>31</v>
      </c>
      <c r="D2709" s="10" t="s">
        <v>32</v>
      </c>
      <c r="E2709" s="15">
        <f>0.5-0.247+4.42-0.092-0.192-1.954-2.583+0.406</f>
        <v>0.25800000000000034</v>
      </c>
    </row>
    <row r="2710" spans="1:5" x14ac:dyDescent="0.3">
      <c r="A2710" s="8">
        <v>168</v>
      </c>
      <c r="B2710" s="8">
        <v>10</v>
      </c>
      <c r="C2710" s="8" t="s">
        <v>29</v>
      </c>
      <c r="D2710" s="8" t="s">
        <v>3</v>
      </c>
      <c r="E2710" s="9">
        <f>12.03-0.785</f>
        <v>11.244999999999999</v>
      </c>
    </row>
    <row r="2711" spans="1:5" x14ac:dyDescent="0.3">
      <c r="A2711" s="10">
        <v>168</v>
      </c>
      <c r="B2711" s="10">
        <v>11</v>
      </c>
      <c r="C2711" s="10" t="s">
        <v>39</v>
      </c>
      <c r="D2711" s="10" t="s">
        <v>1</v>
      </c>
      <c r="E2711" s="15">
        <f>2.004-0.342</f>
        <v>1.6619999999999999</v>
      </c>
    </row>
    <row r="2712" spans="1:5" x14ac:dyDescent="0.3">
      <c r="A2712" s="10">
        <v>168</v>
      </c>
      <c r="B2712" s="10">
        <v>11</v>
      </c>
      <c r="C2712" s="10" t="s">
        <v>26</v>
      </c>
      <c r="D2712" s="10" t="s">
        <v>1</v>
      </c>
      <c r="E2712" s="15">
        <f>3.274+1.07-0.026-0.268-0.029-0.345</f>
        <v>3.676000000000001</v>
      </c>
    </row>
    <row r="2713" spans="1:5" x14ac:dyDescent="0.3">
      <c r="A2713" s="10">
        <v>168</v>
      </c>
      <c r="B2713" s="10">
        <v>11</v>
      </c>
      <c r="C2713" s="10" t="s">
        <v>37</v>
      </c>
      <c r="D2713" s="10" t="s">
        <v>132</v>
      </c>
      <c r="E2713" s="15">
        <f>4.771-0.131-0.113</f>
        <v>4.5269999999999992</v>
      </c>
    </row>
    <row r="2714" spans="1:5" x14ac:dyDescent="0.3">
      <c r="A2714" s="10">
        <v>168</v>
      </c>
      <c r="B2714" s="10">
        <v>12</v>
      </c>
      <c r="C2714" s="10">
        <v>20</v>
      </c>
      <c r="D2714" s="10" t="s">
        <v>1</v>
      </c>
      <c r="E2714" s="15">
        <f>0.252+7.056-0.03-0.095-0.063-0.014+12.119-0.162-0.115-0.044-0.03-0.04-0.142-0.02-0.068-0.02-0.092-0.02+0.018-0.12-0.434-7.542-8.38-0.01-1.95</f>
        <v>5.4000000000003157E-2</v>
      </c>
    </row>
    <row r="2715" spans="1:5" x14ac:dyDescent="0.3">
      <c r="A2715" s="10">
        <v>168</v>
      </c>
      <c r="B2715" s="10">
        <v>12</v>
      </c>
      <c r="C2715" s="10">
        <v>20</v>
      </c>
      <c r="D2715" s="10" t="s">
        <v>1</v>
      </c>
      <c r="E2715" s="15">
        <f>7.542+8.38+0.01-0.05+0.164-0.066+1.95-0.079-0.884-0.265-0.037-0.976+0.186-0.05-0.05-0.355-0.013-0.077-0.168-0.33-0.017-0.021-0.074-0.145-0.074-0.014-0.008-0.097-0.074-0.031-0.988-0.144-0.05-0.126-0.126-0.05-0.05</f>
        <v>12.743</v>
      </c>
    </row>
    <row r="2716" spans="1:5" x14ac:dyDescent="0.3">
      <c r="A2716" s="10">
        <v>168</v>
      </c>
      <c r="B2716" s="10">
        <v>12</v>
      </c>
      <c r="C2716" s="10" t="s">
        <v>26</v>
      </c>
      <c r="D2716" s="10" t="s">
        <v>64</v>
      </c>
      <c r="E2716" s="15">
        <f>0.345+7.16-0.345-3.767-0.195-0.011-0.099-0.147-2.346-0.099-0.191-0.099-0.022-0.031-0.018-0.12+5.704-0.064-0.316-0.017-0.051-0.061-0.258-0.331-0.05-0.025-0.123-0.051-0.036-0.212-0.051-0.051-0.019+1.22-0.096-0.125-0.041-0.172-0.045-0.052-0.015-0.644-0.051-1.368-0.023-0.05-0.318-0.331-0.31-0.027-0.07-0.072-0.027</f>
        <v>1.385999999999999</v>
      </c>
    </row>
    <row r="2717" spans="1:5" x14ac:dyDescent="0.3">
      <c r="A2717" s="12">
        <v>168</v>
      </c>
      <c r="B2717" s="12">
        <v>12</v>
      </c>
      <c r="C2717" s="12" t="s">
        <v>26</v>
      </c>
      <c r="D2717" s="8" t="s">
        <v>64</v>
      </c>
      <c r="E2717" s="15">
        <v>4.8419999999999996</v>
      </c>
    </row>
    <row r="2718" spans="1:5" x14ac:dyDescent="0.3">
      <c r="A2718" s="10">
        <v>168</v>
      </c>
      <c r="B2718" s="10">
        <v>12</v>
      </c>
      <c r="C2718" s="10">
        <v>45</v>
      </c>
      <c r="D2718" s="10" t="s">
        <v>1</v>
      </c>
      <c r="E2718" s="15">
        <f>4.766-0.146-0.148-0.029</f>
        <v>4.4430000000000005</v>
      </c>
    </row>
    <row r="2719" spans="1:5" x14ac:dyDescent="0.3">
      <c r="A2719" s="10">
        <v>168</v>
      </c>
      <c r="B2719" s="10">
        <v>12</v>
      </c>
      <c r="C2719" s="10" t="s">
        <v>37</v>
      </c>
      <c r="D2719" s="10" t="s">
        <v>1</v>
      </c>
      <c r="E2719" s="15">
        <f>2.05-0.172</f>
        <v>1.8779999999999999</v>
      </c>
    </row>
    <row r="2720" spans="1:5" x14ac:dyDescent="0.3">
      <c r="A2720" s="8">
        <v>168</v>
      </c>
      <c r="B2720" s="8">
        <v>12</v>
      </c>
      <c r="C2720" s="8" t="s">
        <v>37</v>
      </c>
      <c r="D2720" s="8" t="s">
        <v>143</v>
      </c>
      <c r="E2720" s="9">
        <v>0.97</v>
      </c>
    </row>
    <row r="2721" spans="1:5" x14ac:dyDescent="0.3">
      <c r="A2721" s="12">
        <v>168</v>
      </c>
      <c r="B2721" s="12">
        <v>12</v>
      </c>
      <c r="C2721" s="12" t="s">
        <v>35</v>
      </c>
      <c r="D2721" s="8" t="s">
        <v>32</v>
      </c>
      <c r="E2721" s="15">
        <v>2</v>
      </c>
    </row>
    <row r="2722" spans="1:5" x14ac:dyDescent="0.3">
      <c r="A2722" s="10">
        <v>168</v>
      </c>
      <c r="B2722" s="10">
        <v>12</v>
      </c>
      <c r="C2722" s="10" t="s">
        <v>28</v>
      </c>
      <c r="D2722" s="10" t="s">
        <v>1</v>
      </c>
      <c r="E2722" s="15">
        <f>3.142-0.269-0.05</f>
        <v>2.823</v>
      </c>
    </row>
    <row r="2723" spans="1:5" x14ac:dyDescent="0.3">
      <c r="A2723" s="8">
        <v>168</v>
      </c>
      <c r="B2723" s="8">
        <v>12</v>
      </c>
      <c r="C2723" s="8" t="s">
        <v>30</v>
      </c>
      <c r="D2723" s="8" t="s">
        <v>1</v>
      </c>
      <c r="E2723" s="9">
        <v>5</v>
      </c>
    </row>
    <row r="2724" spans="1:5" x14ac:dyDescent="0.3">
      <c r="A2724" s="10">
        <v>168</v>
      </c>
      <c r="B2724" s="10">
        <v>12</v>
      </c>
      <c r="C2724" s="10" t="s">
        <v>31</v>
      </c>
      <c r="D2724" s="10" t="s">
        <v>32</v>
      </c>
      <c r="E2724" s="15">
        <f>6.53+2.058-1.849-0.255-0.019-0.008</f>
        <v>6.4570000000000007</v>
      </c>
    </row>
    <row r="2725" spans="1:5" x14ac:dyDescent="0.3">
      <c r="A2725" s="8">
        <v>168</v>
      </c>
      <c r="B2725" s="8">
        <v>14</v>
      </c>
      <c r="C2725" s="8">
        <v>20</v>
      </c>
      <c r="D2725" s="8" t="s">
        <v>1</v>
      </c>
      <c r="E2725" s="9">
        <f>2.284-0.248-0.486-0.49-0.056-0.076-0.435-0.47+0.007+0.423-0.353-0.03+0.001+0.415-0.057-0.036+0.457</f>
        <v>0.84999999999999964</v>
      </c>
    </row>
    <row r="2726" spans="1:5" x14ac:dyDescent="0.3">
      <c r="A2726" s="8">
        <v>168</v>
      </c>
      <c r="B2726" s="8">
        <v>14</v>
      </c>
      <c r="C2726" s="8">
        <v>20</v>
      </c>
      <c r="D2726" s="8" t="s">
        <v>1</v>
      </c>
      <c r="E2726" s="9">
        <f>0.61-0.11+0.007+0.377-0.024-0.069-0.02+0.685-1.075+0.035</f>
        <v>0.41600000000000004</v>
      </c>
    </row>
    <row r="2727" spans="1:5" x14ac:dyDescent="0.3">
      <c r="A2727" s="10">
        <v>168</v>
      </c>
      <c r="B2727" s="10">
        <v>14</v>
      </c>
      <c r="C2727" s="10">
        <v>20</v>
      </c>
      <c r="D2727" s="10" t="s">
        <v>1</v>
      </c>
      <c r="E2727" s="15">
        <f>2.48+0.411+2.825+0.084-0.167-0.617</f>
        <v>5.016</v>
      </c>
    </row>
    <row r="2728" spans="1:5" x14ac:dyDescent="0.3">
      <c r="A2728" s="10">
        <v>168</v>
      </c>
      <c r="B2728" s="10">
        <v>14</v>
      </c>
      <c r="C2728" s="10">
        <v>20</v>
      </c>
      <c r="D2728" s="10" t="s">
        <v>1</v>
      </c>
      <c r="E2728" s="15">
        <f>1.696-0.554+0.622-0.03+0.313+0.315-0.323-0.11+1.075-0.18-0.057-0.121-0.177-0.057-0.358-1.226-0.14</f>
        <v>0.68799999999999939</v>
      </c>
    </row>
    <row r="2729" spans="1:5" x14ac:dyDescent="0.3">
      <c r="A2729" s="10">
        <v>168</v>
      </c>
      <c r="B2729" s="10">
        <v>14</v>
      </c>
      <c r="C2729" s="10">
        <v>20</v>
      </c>
      <c r="D2729" s="10" t="s">
        <v>1</v>
      </c>
      <c r="E2729" s="15">
        <v>0.22</v>
      </c>
    </row>
    <row r="2730" spans="1:5" x14ac:dyDescent="0.3">
      <c r="A2730" s="10">
        <v>168</v>
      </c>
      <c r="B2730" s="10">
        <v>14</v>
      </c>
      <c r="C2730" s="10" t="s">
        <v>39</v>
      </c>
      <c r="D2730" s="10" t="s">
        <v>1</v>
      </c>
      <c r="E2730" s="15">
        <v>1.226</v>
      </c>
    </row>
    <row r="2731" spans="1:5" x14ac:dyDescent="0.3">
      <c r="A2731" s="8">
        <v>168</v>
      </c>
      <c r="B2731" s="8">
        <v>14</v>
      </c>
      <c r="C2731" s="8" t="s">
        <v>12</v>
      </c>
      <c r="D2731" s="8" t="s">
        <v>32</v>
      </c>
      <c r="E2731" s="9">
        <v>0.58599999999999997</v>
      </c>
    </row>
    <row r="2732" spans="1:5" x14ac:dyDescent="0.3">
      <c r="A2732" s="12">
        <v>168</v>
      </c>
      <c r="B2732" s="12">
        <v>14</v>
      </c>
      <c r="C2732" s="12" t="s">
        <v>12</v>
      </c>
      <c r="D2732" s="8" t="s">
        <v>32</v>
      </c>
      <c r="E2732" s="15">
        <f>1.172-0.586</f>
        <v>0.58599999999999997</v>
      </c>
    </row>
    <row r="2733" spans="1:5" x14ac:dyDescent="0.3">
      <c r="A2733" s="12">
        <v>168</v>
      </c>
      <c r="B2733" s="12">
        <v>14</v>
      </c>
      <c r="C2733" s="12" t="s">
        <v>12</v>
      </c>
      <c r="D2733" s="8" t="s">
        <v>32</v>
      </c>
      <c r="E2733" s="15">
        <v>0.88400000000000001</v>
      </c>
    </row>
    <row r="2734" spans="1:5" x14ac:dyDescent="0.3">
      <c r="A2734" s="10">
        <v>168</v>
      </c>
      <c r="B2734" s="10">
        <v>14</v>
      </c>
      <c r="C2734" s="10" t="s">
        <v>26</v>
      </c>
      <c r="D2734" s="10" t="s">
        <v>64</v>
      </c>
      <c r="E2734" s="15">
        <f>5.26-0.114+2.215-0.177-2.083-0.013-1.118-0.931-0.131-0.013-0.114-0.058-0.017-0.103-0.087-0.058-0.115-0.185-0.057-0.114+0.338-0.114-0.21-0.117-0.04-0.171-0.236-0.182-0.446-0.059-0.045-0.012-0.03-0.025-0.115-0.077-0.082-0.042-0.197-0.048-0.042-0.027</f>
        <v>7.9999999999994416E-3</v>
      </c>
    </row>
    <row r="2735" spans="1:5" x14ac:dyDescent="0.3">
      <c r="A2735" s="10">
        <v>168</v>
      </c>
      <c r="B2735" s="10">
        <v>14</v>
      </c>
      <c r="C2735" s="10" t="s">
        <v>26</v>
      </c>
      <c r="D2735" s="10" t="s">
        <v>1</v>
      </c>
      <c r="E2735" s="15">
        <f>0.324+4.482-0.639-0.621-0.115-0.114+0.282-0.034-0.031-0.058+3.485-0.615-0.325+0.118-0.602+5.622-0.059-0.072-0.36-0.075-0.291-0.148-0.307-0.148-0.243-0.123-0.171-0.229-0.215-0.086-0.869-0.058</f>
        <v>7.7050000000000036</v>
      </c>
    </row>
    <row r="2736" spans="1:5" x14ac:dyDescent="0.3">
      <c r="A2736" s="10">
        <v>168</v>
      </c>
      <c r="B2736" s="10">
        <v>14</v>
      </c>
      <c r="C2736" s="10">
        <v>35</v>
      </c>
      <c r="D2736" s="10" t="s">
        <v>1</v>
      </c>
      <c r="E2736" s="15">
        <v>0.36</v>
      </c>
    </row>
    <row r="2737" spans="1:5" x14ac:dyDescent="0.3">
      <c r="A2737" s="10">
        <v>168</v>
      </c>
      <c r="B2737" s="10">
        <v>14</v>
      </c>
      <c r="C2737" s="10">
        <v>35</v>
      </c>
      <c r="D2737" s="10" t="s">
        <v>1</v>
      </c>
      <c r="E2737" s="15">
        <f>4.532+0.954-0.318-0.283</f>
        <v>4.8849999999999998</v>
      </c>
    </row>
    <row r="2738" spans="1:5" x14ac:dyDescent="0.3">
      <c r="A2738" s="10">
        <v>168</v>
      </c>
      <c r="B2738" s="10">
        <v>14</v>
      </c>
      <c r="C2738" s="10">
        <v>45</v>
      </c>
      <c r="D2738" s="10" t="s">
        <v>1</v>
      </c>
      <c r="E2738" s="15">
        <f>2.674+3.308-0.084+0.92-0.177-0.328</f>
        <v>6.3129999999999997</v>
      </c>
    </row>
    <row r="2739" spans="1:5" x14ac:dyDescent="0.3">
      <c r="A2739" s="10">
        <v>168</v>
      </c>
      <c r="B2739" s="10">
        <v>14</v>
      </c>
      <c r="C2739" s="10" t="s">
        <v>37</v>
      </c>
      <c r="D2739" s="10" t="s">
        <v>1</v>
      </c>
      <c r="E2739" s="15">
        <f>6.267+0.509-0.046-0.095+0.606-0.067+0.423-1.115-0.062-0.016-0.029-4.719-0.025-0.035-0.239</f>
        <v>1.3569999999999998</v>
      </c>
    </row>
    <row r="2740" spans="1:5" x14ac:dyDescent="0.3">
      <c r="A2740" s="10">
        <v>168</v>
      </c>
      <c r="B2740" s="10">
        <v>14</v>
      </c>
      <c r="C2740" s="10" t="s">
        <v>28</v>
      </c>
      <c r="D2740" s="10" t="s">
        <v>1</v>
      </c>
      <c r="E2740" s="15">
        <f>2.425+0.71+2.27-0.101-0.428-0.085-0.03-0.112-1.232-0.78</f>
        <v>2.6369999999999987</v>
      </c>
    </row>
    <row r="2741" spans="1:5" x14ac:dyDescent="0.3">
      <c r="A2741" s="10">
        <v>168</v>
      </c>
      <c r="B2741" s="10">
        <v>14</v>
      </c>
      <c r="C2741" s="10" t="s">
        <v>30</v>
      </c>
      <c r="D2741" s="10" t="s">
        <v>1</v>
      </c>
      <c r="E2741" s="15">
        <f>4.485+3.481-0.24-1.475-1.605-0.802-0.957-0.229-0.111-0.059-0.037+0.059-1.358</f>
        <v>1.1519999999999988</v>
      </c>
    </row>
    <row r="2742" spans="1:5" x14ac:dyDescent="0.3">
      <c r="A2742" s="10">
        <v>168</v>
      </c>
      <c r="B2742" s="10">
        <v>14</v>
      </c>
      <c r="C2742" s="10" t="s">
        <v>30</v>
      </c>
      <c r="D2742" s="10" t="s">
        <v>1</v>
      </c>
      <c r="E2742" s="15">
        <f>0.93+1.358</f>
        <v>2.2880000000000003</v>
      </c>
    </row>
    <row r="2743" spans="1:5" x14ac:dyDescent="0.3">
      <c r="A2743" s="8">
        <v>168</v>
      </c>
      <c r="B2743" s="8">
        <v>14</v>
      </c>
      <c r="C2743" s="8" t="s">
        <v>30</v>
      </c>
      <c r="D2743" s="8" t="s">
        <v>1</v>
      </c>
      <c r="E2743" s="9">
        <v>5</v>
      </c>
    </row>
    <row r="2744" spans="1:5" x14ac:dyDescent="0.3">
      <c r="A2744" s="10">
        <v>168</v>
      </c>
      <c r="B2744" s="10">
        <v>16</v>
      </c>
      <c r="C2744" s="10">
        <v>20</v>
      </c>
      <c r="D2744" s="10" t="s">
        <v>1</v>
      </c>
      <c r="E2744" s="15">
        <f>2.631+1.671+0.685-0.165-0.165-0.128-0.046-0.048-0.103-0.067-0.159-0.012</f>
        <v>4.0940000000000003</v>
      </c>
    </row>
    <row r="2745" spans="1:5" x14ac:dyDescent="0.3">
      <c r="A2745" s="10">
        <v>168</v>
      </c>
      <c r="B2745" s="10">
        <v>16</v>
      </c>
      <c r="C2745" s="10">
        <v>20</v>
      </c>
      <c r="D2745" s="10" t="s">
        <v>1</v>
      </c>
      <c r="E2745" s="15">
        <f>1.54-0.071-0.21-0.311-0.034-0.028-0.047-0.289+2.849-0.065-0.128-0.041-0.299</f>
        <v>2.8660000000000001</v>
      </c>
    </row>
    <row r="2746" spans="1:5" x14ac:dyDescent="0.3">
      <c r="A2746" s="8">
        <v>168</v>
      </c>
      <c r="B2746" s="8">
        <v>16</v>
      </c>
      <c r="C2746" s="8" t="s">
        <v>39</v>
      </c>
      <c r="D2746" s="8" t="s">
        <v>1</v>
      </c>
      <c r="E2746" s="9">
        <v>1.1319999999999999</v>
      </c>
    </row>
    <row r="2747" spans="1:5" x14ac:dyDescent="0.3">
      <c r="A2747" s="10">
        <v>168</v>
      </c>
      <c r="B2747" s="10">
        <v>16</v>
      </c>
      <c r="C2747" s="10" t="s">
        <v>26</v>
      </c>
      <c r="D2747" s="10" t="s">
        <v>64</v>
      </c>
      <c r="E2747" s="15">
        <f>9.878-0.691-0.681-0.064-1.024-0.687-0.25-0.347-0.106-0.064-0.342-0.319-0.021-0.154-0.064-0.034-0.124-0.028-0.271-0.097-0.019-0.342-0.346-0.024-0.095-0.345+0.313</f>
        <v>3.6520000000000015</v>
      </c>
    </row>
    <row r="2748" spans="1:5" x14ac:dyDescent="0.3">
      <c r="A2748" s="10">
        <v>168</v>
      </c>
      <c r="B2748" s="10">
        <v>16</v>
      </c>
      <c r="C2748" s="10" t="s">
        <v>26</v>
      </c>
      <c r="D2748" s="10" t="s">
        <v>110</v>
      </c>
      <c r="E2748" s="15">
        <f>4.97+7.778-0.204-0.034</f>
        <v>12.509999999999998</v>
      </c>
    </row>
    <row r="2749" spans="1:5" x14ac:dyDescent="0.3">
      <c r="A2749" s="12">
        <v>168</v>
      </c>
      <c r="B2749" s="12">
        <v>16</v>
      </c>
      <c r="C2749" s="12" t="s">
        <v>35</v>
      </c>
      <c r="D2749" s="8" t="s">
        <v>32</v>
      </c>
      <c r="E2749" s="15">
        <v>2</v>
      </c>
    </row>
    <row r="2750" spans="1:5" x14ac:dyDescent="0.3">
      <c r="A2750" s="10">
        <v>168</v>
      </c>
      <c r="B2750" s="10">
        <v>16</v>
      </c>
      <c r="C2750" s="10">
        <v>35</v>
      </c>
      <c r="D2750" s="10" t="s">
        <v>1</v>
      </c>
      <c r="E2750" s="15">
        <f>4.53+0.602-0.96</f>
        <v>4.1720000000000006</v>
      </c>
    </row>
    <row r="2751" spans="1:5" x14ac:dyDescent="0.3">
      <c r="A2751" s="10">
        <v>168</v>
      </c>
      <c r="B2751" s="10">
        <v>16</v>
      </c>
      <c r="C2751" s="10">
        <v>45</v>
      </c>
      <c r="D2751" s="10" t="s">
        <v>1</v>
      </c>
      <c r="E2751" s="15">
        <f>3.992-0.028+1.334-0.024-0.226-0.014</f>
        <v>5.0339999999999998</v>
      </c>
    </row>
    <row r="2752" spans="1:5" x14ac:dyDescent="0.3">
      <c r="A2752" s="10">
        <v>168</v>
      </c>
      <c r="B2752" s="10">
        <v>16</v>
      </c>
      <c r="C2752" s="10">
        <v>45</v>
      </c>
      <c r="D2752" s="10" t="s">
        <v>110</v>
      </c>
      <c r="E2752" s="15">
        <v>0.26200000000000001</v>
      </c>
    </row>
    <row r="2753" spans="1:5" x14ac:dyDescent="0.3">
      <c r="A2753" s="10">
        <v>168</v>
      </c>
      <c r="B2753" s="10">
        <v>16</v>
      </c>
      <c r="C2753" s="10" t="s">
        <v>37</v>
      </c>
      <c r="D2753" s="10" t="s">
        <v>129</v>
      </c>
      <c r="E2753" s="15">
        <f>0.56-0.053-0.037-0.024-0.246</f>
        <v>0.2</v>
      </c>
    </row>
    <row r="2754" spans="1:5" x14ac:dyDescent="0.3">
      <c r="A2754" s="10">
        <v>168</v>
      </c>
      <c r="B2754" s="10">
        <v>16</v>
      </c>
      <c r="C2754" s="10" t="s">
        <v>28</v>
      </c>
      <c r="D2754" s="10" t="s">
        <v>1</v>
      </c>
      <c r="E2754" s="15">
        <f>2.5+2.605-0.093-0.034</f>
        <v>4.9780000000000006</v>
      </c>
    </row>
    <row r="2755" spans="1:5" x14ac:dyDescent="0.3">
      <c r="A2755" s="8">
        <v>168</v>
      </c>
      <c r="B2755" s="8">
        <v>16</v>
      </c>
      <c r="C2755" s="8" t="s">
        <v>145</v>
      </c>
      <c r="D2755" s="8" t="s">
        <v>1</v>
      </c>
      <c r="E2755" s="9">
        <v>0.42</v>
      </c>
    </row>
    <row r="2756" spans="1:5" x14ac:dyDescent="0.3">
      <c r="A2756" s="8">
        <v>168</v>
      </c>
      <c r="B2756" s="8">
        <v>16</v>
      </c>
      <c r="C2756" s="8" t="s">
        <v>30</v>
      </c>
      <c r="D2756" s="8" t="s">
        <v>1</v>
      </c>
      <c r="E2756" s="9">
        <v>5</v>
      </c>
    </row>
    <row r="2757" spans="1:5" x14ac:dyDescent="0.3">
      <c r="A2757" s="10">
        <v>168</v>
      </c>
      <c r="B2757" s="10">
        <v>17</v>
      </c>
      <c r="C2757" s="10" t="s">
        <v>120</v>
      </c>
      <c r="D2757" s="10" t="s">
        <v>1</v>
      </c>
      <c r="E2757" s="15">
        <v>1.32</v>
      </c>
    </row>
    <row r="2758" spans="1:5" x14ac:dyDescent="0.3">
      <c r="A2758" s="8">
        <v>168</v>
      </c>
      <c r="B2758" s="8">
        <v>18</v>
      </c>
      <c r="C2758" s="8">
        <v>20</v>
      </c>
      <c r="D2758" s="8" t="s">
        <v>1</v>
      </c>
      <c r="E2758" s="9">
        <v>5</v>
      </c>
    </row>
    <row r="2759" spans="1:5" x14ac:dyDescent="0.3">
      <c r="A2759" s="10">
        <v>168</v>
      </c>
      <c r="B2759" s="10">
        <v>18</v>
      </c>
      <c r="C2759" s="10" t="s">
        <v>26</v>
      </c>
      <c r="D2759" s="10" t="s">
        <v>64</v>
      </c>
      <c r="E2759" s="15">
        <f>4.82+5.08+3.79-0.213-0.015-0.042-0.049-0.074+1.06-0.088+0.89-0.144-0.073-0.018-0.298-1.741-0.445</f>
        <v>12.440000000000003</v>
      </c>
    </row>
    <row r="2760" spans="1:5" x14ac:dyDescent="0.3">
      <c r="A2760" s="8">
        <v>168</v>
      </c>
      <c r="B2760" s="8">
        <v>18</v>
      </c>
      <c r="C2760" s="8">
        <v>35</v>
      </c>
      <c r="D2760" s="8" t="s">
        <v>1</v>
      </c>
      <c r="E2760" s="9">
        <v>5</v>
      </c>
    </row>
    <row r="2761" spans="1:5" x14ac:dyDescent="0.3">
      <c r="A2761" s="10">
        <v>168.3</v>
      </c>
      <c r="B2761" s="10">
        <v>18.260000000000002</v>
      </c>
      <c r="C2761" s="10" t="s">
        <v>178</v>
      </c>
      <c r="D2761" s="10" t="s">
        <v>92</v>
      </c>
      <c r="E2761" s="15">
        <v>0.63</v>
      </c>
    </row>
    <row r="2762" spans="1:5" x14ac:dyDescent="0.3">
      <c r="A2762" s="10">
        <v>168</v>
      </c>
      <c r="B2762" s="10">
        <v>18</v>
      </c>
      <c r="C2762" s="10" t="s">
        <v>28</v>
      </c>
      <c r="D2762" s="10" t="s">
        <v>15</v>
      </c>
      <c r="E2762" s="15">
        <f>4.528-0.069-0.046-0.278-0.53-0.17-0.574-2.746+0.005-0.027+2.995-0.139-0.479-1.846-0.047-0.206</f>
        <v>0.37099999999999966</v>
      </c>
    </row>
    <row r="2763" spans="1:5" x14ac:dyDescent="0.3">
      <c r="A2763" s="10">
        <v>168</v>
      </c>
      <c r="B2763" s="10">
        <v>18</v>
      </c>
      <c r="C2763" s="10" t="s">
        <v>28</v>
      </c>
      <c r="D2763" s="10" t="s">
        <v>1</v>
      </c>
      <c r="E2763" s="15">
        <f>2.4+2.405+0.605-0.635-1.855</f>
        <v>2.9200000000000004</v>
      </c>
    </row>
    <row r="2764" spans="1:5" x14ac:dyDescent="0.3">
      <c r="A2764" s="10">
        <v>168</v>
      </c>
      <c r="B2764" s="10">
        <v>18</v>
      </c>
      <c r="C2764" s="10" t="s">
        <v>30</v>
      </c>
      <c r="D2764" s="10" t="s">
        <v>1</v>
      </c>
      <c r="E2764" s="15">
        <f>2.36+1.515-1.239-0.513-0.23+2.405-0.109-0.071-0.579-0.304-0.293-0.049-2.506-0.533+0.217-0.025</f>
        <v>4.6000000000000867E-2</v>
      </c>
    </row>
    <row r="2765" spans="1:5" x14ac:dyDescent="0.3">
      <c r="A2765" s="8">
        <v>168</v>
      </c>
      <c r="B2765" s="8">
        <v>18</v>
      </c>
      <c r="C2765" s="8" t="s">
        <v>30</v>
      </c>
      <c r="D2765" s="8" t="s">
        <v>1</v>
      </c>
      <c r="E2765" s="9">
        <f>2.506-0.614-0.632</f>
        <v>1.2599999999999998</v>
      </c>
    </row>
    <row r="2766" spans="1:5" x14ac:dyDescent="0.3">
      <c r="A2766" s="8">
        <v>168</v>
      </c>
      <c r="B2766" s="8">
        <v>18</v>
      </c>
      <c r="C2766" s="8" t="s">
        <v>30</v>
      </c>
      <c r="D2766" s="8" t="s">
        <v>1</v>
      </c>
      <c r="E2766" s="9">
        <v>5</v>
      </c>
    </row>
    <row r="2767" spans="1:5" x14ac:dyDescent="0.3">
      <c r="A2767" s="10">
        <v>168</v>
      </c>
      <c r="B2767" s="10">
        <v>20</v>
      </c>
      <c r="C2767" s="10">
        <v>20</v>
      </c>
      <c r="D2767" s="10" t="s">
        <v>1</v>
      </c>
      <c r="E2767" s="15">
        <f>5.359-0.113-0.137-0.225-0.314-0.078-0.239-0.096-0.034-0.096-2.035-0.093-0.078-0.673-0.015-0.1-0.225-0.015-0.13-0.152-0.091-0.032-0.06-0.047-0.109-0.142-0.015</f>
        <v>1.4999999999999944E-2</v>
      </c>
    </row>
    <row r="2768" spans="1:5" x14ac:dyDescent="0.3">
      <c r="A2768" s="8">
        <v>168</v>
      </c>
      <c r="B2768" s="8">
        <v>20</v>
      </c>
      <c r="C2768" s="8">
        <v>20</v>
      </c>
      <c r="D2768" s="8" t="s">
        <v>1</v>
      </c>
      <c r="E2768" s="9">
        <v>5</v>
      </c>
    </row>
    <row r="2769" spans="1:5" x14ac:dyDescent="0.3">
      <c r="A2769" s="10">
        <v>168</v>
      </c>
      <c r="B2769" s="10">
        <v>20</v>
      </c>
      <c r="C2769" s="10" t="s">
        <v>26</v>
      </c>
      <c r="D2769" s="10" t="s">
        <v>64</v>
      </c>
      <c r="E2769" s="15">
        <f>4.61-0.113-0.114-0.151-0.092-0.085-0.163-0.136-0.151-0.635-0.015-0.038-0.04-0.068-0.358-0.225-0.113-0.029-0.085-0.62-0.038-1.193+0.199</f>
        <v>0.34700000000000036</v>
      </c>
    </row>
    <row r="2770" spans="1:5" x14ac:dyDescent="0.3">
      <c r="A2770" s="10">
        <v>168</v>
      </c>
      <c r="B2770" s="10">
        <v>20</v>
      </c>
      <c r="C2770" s="10" t="s">
        <v>26</v>
      </c>
      <c r="D2770" s="10" t="s">
        <v>64</v>
      </c>
      <c r="E2770" s="15">
        <v>1.1930000000000001</v>
      </c>
    </row>
    <row r="2771" spans="1:5" x14ac:dyDescent="0.3">
      <c r="A2771" s="8">
        <v>168</v>
      </c>
      <c r="B2771" s="8">
        <v>20</v>
      </c>
      <c r="C2771" s="8">
        <v>35</v>
      </c>
      <c r="D2771" s="8" t="s">
        <v>1</v>
      </c>
      <c r="E2771" s="9">
        <v>5</v>
      </c>
    </row>
    <row r="2772" spans="1:5" x14ac:dyDescent="0.3">
      <c r="A2772" s="10">
        <v>168</v>
      </c>
      <c r="B2772" s="10">
        <v>20</v>
      </c>
      <c r="C2772" s="10">
        <v>45</v>
      </c>
      <c r="D2772" s="10" t="s">
        <v>1</v>
      </c>
      <c r="E2772" s="15">
        <f>5.345-0.056-0.67-1.275-0.68-0.189-0.054-0.678-0.078-0.055+3.65-0.035</f>
        <v>5.2249999999999996</v>
      </c>
    </row>
    <row r="2773" spans="1:5" x14ac:dyDescent="0.3">
      <c r="A2773" s="10">
        <v>168</v>
      </c>
      <c r="B2773" s="10">
        <v>20</v>
      </c>
      <c r="C2773" s="10" t="s">
        <v>28</v>
      </c>
      <c r="D2773" s="10" t="s">
        <v>1</v>
      </c>
      <c r="E2773" s="15">
        <f>10.22-0.482-0.538-0.529-0.225-1.137-1.62-1.165-1.134-0.011-0.077-0.011-0.488-0.034</f>
        <v>2.769000000000001</v>
      </c>
    </row>
    <row r="2774" spans="1:5" x14ac:dyDescent="0.3">
      <c r="A2774" s="10">
        <v>168</v>
      </c>
      <c r="B2774" s="10">
        <v>20</v>
      </c>
      <c r="C2774" s="10" t="s">
        <v>28</v>
      </c>
      <c r="D2774" s="10" t="s">
        <v>1</v>
      </c>
      <c r="E2774" s="15">
        <f>2.52+2.465+2.495</f>
        <v>7.4799999999999995</v>
      </c>
    </row>
    <row r="2775" spans="1:5" x14ac:dyDescent="0.3">
      <c r="A2775" s="10">
        <v>168</v>
      </c>
      <c r="B2775" s="10">
        <v>20</v>
      </c>
      <c r="C2775" s="10" t="s">
        <v>30</v>
      </c>
      <c r="D2775" s="10" t="s">
        <v>1</v>
      </c>
      <c r="E2775" s="15">
        <f>4.64-0.225-1.252-0.935-0.977-0.871</f>
        <v>0.38000000000000034</v>
      </c>
    </row>
    <row r="2776" spans="1:5" x14ac:dyDescent="0.3">
      <c r="A2776" s="8">
        <v>168</v>
      </c>
      <c r="B2776" s="8">
        <v>20</v>
      </c>
      <c r="C2776" s="8" t="s">
        <v>30</v>
      </c>
      <c r="D2776" s="8" t="s">
        <v>1</v>
      </c>
      <c r="E2776" s="9">
        <v>5</v>
      </c>
    </row>
    <row r="2777" spans="1:5" x14ac:dyDescent="0.3">
      <c r="A2777" s="8">
        <v>168</v>
      </c>
      <c r="B2777" s="8">
        <v>20</v>
      </c>
      <c r="C2777" s="8" t="s">
        <v>29</v>
      </c>
      <c r="D2777" s="8" t="s">
        <v>3</v>
      </c>
      <c r="E2777" s="9">
        <f>1.074-0.307-0.08</f>
        <v>0.68700000000000017</v>
      </c>
    </row>
    <row r="2778" spans="1:5" x14ac:dyDescent="0.3">
      <c r="A2778" s="8">
        <v>168</v>
      </c>
      <c r="B2778" s="8">
        <v>22</v>
      </c>
      <c r="C2778" s="8">
        <v>20</v>
      </c>
      <c r="D2778" s="8" t="s">
        <v>1</v>
      </c>
      <c r="E2778" s="9">
        <v>5</v>
      </c>
    </row>
    <row r="2779" spans="1:5" x14ac:dyDescent="0.3">
      <c r="A2779" s="10">
        <v>168</v>
      </c>
      <c r="B2779" s="10">
        <v>22</v>
      </c>
      <c r="C2779" s="10" t="s">
        <v>26</v>
      </c>
      <c r="D2779" s="10" t="s">
        <v>64</v>
      </c>
      <c r="E2779" s="15">
        <f>5.065-0.567-0.194-0.162-0.162+1.21-0.133-0.083-0.163-0.621-0.184-0.562-0.083-2.961</f>
        <v>0.39999999999999902</v>
      </c>
    </row>
    <row r="2780" spans="1:5" x14ac:dyDescent="0.3">
      <c r="A2780" s="8">
        <v>168</v>
      </c>
      <c r="B2780" s="8">
        <v>22</v>
      </c>
      <c r="C2780" s="8" t="s">
        <v>26</v>
      </c>
      <c r="D2780" s="8" t="s">
        <v>64</v>
      </c>
      <c r="E2780" s="9">
        <v>5</v>
      </c>
    </row>
    <row r="2781" spans="1:5" x14ac:dyDescent="0.3">
      <c r="A2781" s="10">
        <v>168</v>
      </c>
      <c r="B2781" s="10">
        <v>22</v>
      </c>
      <c r="C2781" s="10">
        <v>45</v>
      </c>
      <c r="D2781" s="10" t="s">
        <v>1</v>
      </c>
      <c r="E2781" s="15">
        <f>4.97-0.164-0.242-0.083-0.234+0.102-0.726-0.163-0.324-0.04</f>
        <v>3.0960000000000005</v>
      </c>
    </row>
    <row r="2782" spans="1:5" x14ac:dyDescent="0.3">
      <c r="A2782" s="10">
        <v>168</v>
      </c>
      <c r="B2782" s="10">
        <v>22</v>
      </c>
      <c r="C2782" s="10" t="s">
        <v>36</v>
      </c>
      <c r="D2782" s="10" t="s">
        <v>1</v>
      </c>
      <c r="E2782" s="15">
        <f>2.04+3.115-2.067-1.613-0.243-0.331</f>
        <v>0.90100000000000025</v>
      </c>
    </row>
    <row r="2783" spans="1:5" x14ac:dyDescent="0.3">
      <c r="A2783" s="10">
        <v>168</v>
      </c>
      <c r="B2783" s="10">
        <v>22</v>
      </c>
      <c r="C2783" s="10" t="s">
        <v>36</v>
      </c>
      <c r="D2783" s="10" t="s">
        <v>1</v>
      </c>
      <c r="E2783" s="15">
        <f>3.43+2.63</f>
        <v>6.0600000000000005</v>
      </c>
    </row>
    <row r="2784" spans="1:5" x14ac:dyDescent="0.3">
      <c r="A2784" s="10">
        <v>168</v>
      </c>
      <c r="B2784" s="10">
        <v>22</v>
      </c>
      <c r="C2784" s="10" t="s">
        <v>28</v>
      </c>
      <c r="D2784" s="10" t="s">
        <v>1</v>
      </c>
      <c r="E2784" s="15">
        <f>3.665+2.444-0.643</f>
        <v>5.4660000000000002</v>
      </c>
    </row>
    <row r="2785" spans="1:5" x14ac:dyDescent="0.3">
      <c r="A2785" s="10">
        <v>168</v>
      </c>
      <c r="B2785" s="10">
        <v>22</v>
      </c>
      <c r="C2785" s="10" t="s">
        <v>28</v>
      </c>
      <c r="D2785" s="10" t="s">
        <v>1</v>
      </c>
      <c r="E2785" s="15">
        <f>2.955-0.208-2.444</f>
        <v>0.30299999999999994</v>
      </c>
    </row>
    <row r="2786" spans="1:5" x14ac:dyDescent="0.3">
      <c r="A2786" s="10">
        <v>168</v>
      </c>
      <c r="B2786" s="10">
        <v>22</v>
      </c>
      <c r="C2786" s="10" t="s">
        <v>30</v>
      </c>
      <c r="D2786" s="10" t="s">
        <v>1</v>
      </c>
      <c r="E2786" s="15">
        <f>2.68+2.64-0.163-0.084-0.282</f>
        <v>4.7910000000000004</v>
      </c>
    </row>
    <row r="2787" spans="1:5" x14ac:dyDescent="0.3">
      <c r="A2787" s="8">
        <v>168</v>
      </c>
      <c r="B2787" s="8">
        <v>25</v>
      </c>
      <c r="C2787" s="8">
        <v>20</v>
      </c>
      <c r="D2787" s="8" t="s">
        <v>1</v>
      </c>
      <c r="E2787" s="9">
        <v>5</v>
      </c>
    </row>
    <row r="2788" spans="1:5" x14ac:dyDescent="0.3">
      <c r="A2788" s="8">
        <v>168</v>
      </c>
      <c r="B2788" s="8">
        <v>25</v>
      </c>
      <c r="C2788" s="8" t="s">
        <v>26</v>
      </c>
      <c r="D2788" s="8" t="s">
        <v>64</v>
      </c>
      <c r="E2788" s="9">
        <f>13.43-2.008-0.365-0.027-0.049-0.128-0.094-0.079-0.372-0.028-0.092-0.435-1.186-0.138-0.081-1.535-1.573-0.188-4.609</f>
        <v>0.4430000000000005</v>
      </c>
    </row>
    <row r="2789" spans="1:5" x14ac:dyDescent="0.3">
      <c r="A2789" s="10">
        <v>168</v>
      </c>
      <c r="B2789" s="10">
        <v>25</v>
      </c>
      <c r="C2789" s="10" t="s">
        <v>26</v>
      </c>
      <c r="D2789" s="10" t="s">
        <v>64</v>
      </c>
      <c r="E2789" s="15">
        <f>2.2-0.514-0.492-0.372-0.359+4.609-4.609</f>
        <v>0.46300000000000008</v>
      </c>
    </row>
    <row r="2790" spans="1:5" x14ac:dyDescent="0.3">
      <c r="A2790" s="8">
        <v>168</v>
      </c>
      <c r="B2790" s="8">
        <v>25</v>
      </c>
      <c r="C2790" s="8">
        <v>35</v>
      </c>
      <c r="D2790" s="8" t="s">
        <v>1</v>
      </c>
      <c r="E2790" s="9">
        <v>5</v>
      </c>
    </row>
    <row r="2791" spans="1:5" x14ac:dyDescent="0.3">
      <c r="A2791" s="10">
        <v>168</v>
      </c>
      <c r="B2791" s="10">
        <v>25</v>
      </c>
      <c r="C2791" s="10">
        <v>45</v>
      </c>
      <c r="D2791" s="10" t="s">
        <v>1</v>
      </c>
      <c r="E2791" s="15">
        <f>3.527-0.6-0.182</f>
        <v>2.7450000000000001</v>
      </c>
    </row>
    <row r="2792" spans="1:5" x14ac:dyDescent="0.3">
      <c r="A2792" s="8">
        <v>168</v>
      </c>
      <c r="B2792" s="8">
        <v>25</v>
      </c>
      <c r="C2792" s="8">
        <v>45</v>
      </c>
      <c r="D2792" s="8" t="s">
        <v>1</v>
      </c>
      <c r="E2792" s="9">
        <v>5</v>
      </c>
    </row>
    <row r="2793" spans="1:5" x14ac:dyDescent="0.3">
      <c r="A2793" s="10">
        <v>168</v>
      </c>
      <c r="B2793" s="10">
        <v>25</v>
      </c>
      <c r="C2793" s="10" t="s">
        <v>36</v>
      </c>
      <c r="D2793" s="10" t="s">
        <v>1</v>
      </c>
      <c r="E2793" s="15">
        <f>5.01-0.731</f>
        <v>4.2789999999999999</v>
      </c>
    </row>
    <row r="2794" spans="1:5" x14ac:dyDescent="0.3">
      <c r="A2794" s="10">
        <v>168</v>
      </c>
      <c r="B2794" s="10">
        <v>25</v>
      </c>
      <c r="C2794" s="10" t="s">
        <v>28</v>
      </c>
      <c r="D2794" s="10" t="s">
        <v>1</v>
      </c>
      <c r="E2794" s="15">
        <f>1.18+0.49-0.093+9.905+10.067-0.398-1.194-6.738-0.138-0.664-0.121-0.664-0.677-0.392-0.675-0.711-0.183-0.862-0.466-0.542-4.276-0.516-0.048-0.255-0.752-0.192</f>
        <v>1.0850000000000017</v>
      </c>
    </row>
    <row r="2795" spans="1:5" x14ac:dyDescent="0.3">
      <c r="A2795" s="10">
        <v>168</v>
      </c>
      <c r="B2795" s="10">
        <v>25</v>
      </c>
      <c r="C2795" s="10" t="s">
        <v>28</v>
      </c>
      <c r="D2795" s="10" t="s">
        <v>1</v>
      </c>
      <c r="E2795" s="15">
        <f>4.276-0.853-0.117-0.039</f>
        <v>3.2669999999999999</v>
      </c>
    </row>
    <row r="2796" spans="1:5" x14ac:dyDescent="0.3">
      <c r="A2796" s="10">
        <v>168</v>
      </c>
      <c r="B2796" s="10">
        <v>25</v>
      </c>
      <c r="C2796" s="10" t="s">
        <v>30</v>
      </c>
      <c r="D2796" s="10" t="s">
        <v>1</v>
      </c>
      <c r="E2796" s="15">
        <f>2.4+2.415-0.032-0.166-0.813-0.087-0.203-0.305-0.81-0.084-0.182-0.084-0.81-0.227-0.808-0.162</f>
        <v>4.1999999999998844E-2</v>
      </c>
    </row>
    <row r="2797" spans="1:5" x14ac:dyDescent="0.3">
      <c r="A2797" s="10">
        <v>168</v>
      </c>
      <c r="B2797" s="10">
        <v>25</v>
      </c>
      <c r="C2797" s="10" t="s">
        <v>30</v>
      </c>
      <c r="D2797" s="10" t="s">
        <v>1</v>
      </c>
      <c r="E2797" s="15">
        <v>5</v>
      </c>
    </row>
    <row r="2798" spans="1:5" x14ac:dyDescent="0.3">
      <c r="A2798" s="8">
        <v>168</v>
      </c>
      <c r="B2798" s="8">
        <v>28</v>
      </c>
      <c r="C2798" s="8">
        <v>20</v>
      </c>
      <c r="D2798" s="8" t="s">
        <v>1</v>
      </c>
      <c r="E2798" s="9">
        <v>5</v>
      </c>
    </row>
    <row r="2799" spans="1:5" x14ac:dyDescent="0.3">
      <c r="A2799" s="8">
        <v>168</v>
      </c>
      <c r="B2799" s="8">
        <v>28</v>
      </c>
      <c r="C2799" s="8" t="s">
        <v>26</v>
      </c>
      <c r="D2799" s="8" t="s">
        <v>64</v>
      </c>
      <c r="E2799" s="9">
        <v>5</v>
      </c>
    </row>
    <row r="2800" spans="1:5" x14ac:dyDescent="0.3">
      <c r="A2800" s="8">
        <v>168</v>
      </c>
      <c r="B2800" s="8">
        <v>28</v>
      </c>
      <c r="C2800" s="8">
        <v>35</v>
      </c>
      <c r="D2800" s="8" t="s">
        <v>1</v>
      </c>
      <c r="E2800" s="9">
        <v>5</v>
      </c>
    </row>
    <row r="2801" spans="1:5" x14ac:dyDescent="0.3">
      <c r="A2801" s="10">
        <v>168</v>
      </c>
      <c r="B2801" s="10">
        <v>28</v>
      </c>
      <c r="C2801" s="10">
        <v>45</v>
      </c>
      <c r="D2801" s="10" t="s">
        <v>1</v>
      </c>
      <c r="E2801" s="15">
        <f>5.233-0.161-0.103-0.201-0.657+0.55-0.574-1.567-0.053-0.099-0.297-0.598-0.249-0.137-0.19-0.249-0.604</f>
        <v>4.4000000000000261E-2</v>
      </c>
    </row>
    <row r="2802" spans="1:5" x14ac:dyDescent="0.3">
      <c r="A2802" s="10">
        <v>168</v>
      </c>
      <c r="B2802" s="10">
        <v>28</v>
      </c>
      <c r="C2802" s="10">
        <v>45</v>
      </c>
      <c r="D2802" s="10" t="s">
        <v>1</v>
      </c>
      <c r="E2802" s="15">
        <f>1.605-0.617</f>
        <v>0.98799999999999999</v>
      </c>
    </row>
    <row r="2803" spans="1:5" x14ac:dyDescent="0.3">
      <c r="A2803" s="8">
        <v>168</v>
      </c>
      <c r="B2803" s="8">
        <v>28</v>
      </c>
      <c r="C2803" s="8">
        <v>45</v>
      </c>
      <c r="D2803" s="8" t="s">
        <v>1</v>
      </c>
      <c r="E2803" s="9">
        <v>5</v>
      </c>
    </row>
    <row r="2804" spans="1:5" x14ac:dyDescent="0.3">
      <c r="A2804" s="10">
        <v>168</v>
      </c>
      <c r="B2804" s="10">
        <v>28</v>
      </c>
      <c r="C2804" s="10" t="s">
        <v>28</v>
      </c>
      <c r="D2804" s="10" t="s">
        <v>1</v>
      </c>
      <c r="E2804" s="15">
        <f>3.948+2.976-0.64-0.15-0.64-0.485-2.109-0.228-0.259-0.167+7.56-0.2-2.598-2.605-0.033-2.589</f>
        <v>1.7810000000000001</v>
      </c>
    </row>
    <row r="2805" spans="1:5" x14ac:dyDescent="0.3">
      <c r="A2805" s="10">
        <v>168</v>
      </c>
      <c r="B2805" s="10">
        <v>28</v>
      </c>
      <c r="C2805" s="10" t="s">
        <v>28</v>
      </c>
      <c r="D2805" s="10" t="s">
        <v>1</v>
      </c>
      <c r="E2805" s="15">
        <f>2.598+2.605+2.589-6.928</f>
        <v>0.86399999999999988</v>
      </c>
    </row>
    <row r="2806" spans="1:5" x14ac:dyDescent="0.3">
      <c r="A2806" s="10">
        <v>168</v>
      </c>
      <c r="B2806" s="10">
        <v>28</v>
      </c>
      <c r="C2806" s="10" t="s">
        <v>30</v>
      </c>
      <c r="D2806" s="10" t="s">
        <v>1</v>
      </c>
      <c r="E2806" s="15">
        <f>3.09-0.816-0.329+2.51+2.54-0.439-0.221-0.054-0.8-0.885-1.427-0.856-0.143</f>
        <v>2.1700000000000004</v>
      </c>
    </row>
    <row r="2807" spans="1:5" x14ac:dyDescent="0.3">
      <c r="A2807" s="10">
        <v>168</v>
      </c>
      <c r="B2807" s="10">
        <v>28</v>
      </c>
      <c r="C2807" s="10" t="s">
        <v>106</v>
      </c>
      <c r="D2807" s="10" t="s">
        <v>1</v>
      </c>
      <c r="E2807" s="15">
        <v>10.27</v>
      </c>
    </row>
    <row r="2808" spans="1:5" x14ac:dyDescent="0.3">
      <c r="A2808" s="8">
        <v>168</v>
      </c>
      <c r="B2808" s="8">
        <v>30</v>
      </c>
      <c r="C2808" s="8">
        <v>20</v>
      </c>
      <c r="D2808" s="8" t="s">
        <v>1</v>
      </c>
      <c r="E2808" s="9">
        <v>5</v>
      </c>
    </row>
    <row r="2809" spans="1:5" x14ac:dyDescent="0.3">
      <c r="A2809" s="10">
        <v>168</v>
      </c>
      <c r="B2809" s="10">
        <v>30</v>
      </c>
      <c r="C2809" s="10" t="s">
        <v>26</v>
      </c>
      <c r="D2809" s="10" t="s">
        <v>64</v>
      </c>
      <c r="E2809" s="15">
        <f>6.455-0.416-0.014-0.034-0.246+0.765-0.314-0.108-0.276-0.313-0.209-1.107-0.416-3.089</f>
        <v>0.67799999999999994</v>
      </c>
    </row>
    <row r="2810" spans="1:5" x14ac:dyDescent="0.3">
      <c r="A2810" s="8">
        <v>168</v>
      </c>
      <c r="B2810" s="8">
        <v>30</v>
      </c>
      <c r="C2810" s="8" t="s">
        <v>26</v>
      </c>
      <c r="D2810" s="8" t="s">
        <v>64</v>
      </c>
      <c r="E2810" s="9">
        <v>5</v>
      </c>
    </row>
    <row r="2811" spans="1:5" x14ac:dyDescent="0.3">
      <c r="A2811" s="10">
        <v>168</v>
      </c>
      <c r="B2811" s="10">
        <v>30</v>
      </c>
      <c r="C2811" s="10">
        <v>35</v>
      </c>
      <c r="D2811" s="10" t="s">
        <v>1</v>
      </c>
      <c r="E2811" s="15">
        <f>6.3-0.263-0.653-0.089-0.211-1.323</f>
        <v>3.7609999999999997</v>
      </c>
    </row>
    <row r="2812" spans="1:5" x14ac:dyDescent="0.3">
      <c r="A2812" s="10">
        <v>168</v>
      </c>
      <c r="B2812" s="10">
        <v>30</v>
      </c>
      <c r="C2812" s="10">
        <v>45</v>
      </c>
      <c r="D2812" s="10" t="s">
        <v>1</v>
      </c>
      <c r="E2812" s="15">
        <f>15.72-0.069-0.753-0.103</f>
        <v>14.795</v>
      </c>
    </row>
    <row r="2813" spans="1:5" x14ac:dyDescent="0.3">
      <c r="A2813" s="10">
        <v>168</v>
      </c>
      <c r="B2813" s="10">
        <v>30</v>
      </c>
      <c r="C2813" s="10" t="s">
        <v>28</v>
      </c>
      <c r="D2813" s="10" t="s">
        <v>1</v>
      </c>
      <c r="E2813" s="15">
        <f>1.257+0.192-0.108-0.628-0.17-0.461+10.842-0.312-0.651-0.335-9.545+9.94-0.879-0.475-2.619-1.716-0.837-0.877-2.918+0.385</f>
        <v>8.5000000000000187E-2</v>
      </c>
    </row>
    <row r="2814" spans="1:5" x14ac:dyDescent="0.3">
      <c r="A2814" s="10">
        <v>168</v>
      </c>
      <c r="B2814" s="10">
        <v>30</v>
      </c>
      <c r="C2814" s="10" t="s">
        <v>28</v>
      </c>
      <c r="D2814" s="10" t="s">
        <v>1</v>
      </c>
      <c r="E2814" s="15">
        <f>4.41+5.31-0.12</f>
        <v>9.6</v>
      </c>
    </row>
    <row r="2815" spans="1:5" x14ac:dyDescent="0.3">
      <c r="A2815" s="8">
        <v>168</v>
      </c>
      <c r="B2815" s="8">
        <v>30</v>
      </c>
      <c r="C2815" s="8" t="s">
        <v>30</v>
      </c>
      <c r="D2815" s="8" t="s">
        <v>1</v>
      </c>
      <c r="E2815" s="9">
        <v>5</v>
      </c>
    </row>
    <row r="2816" spans="1:5" x14ac:dyDescent="0.3">
      <c r="A2816" s="8">
        <v>168</v>
      </c>
      <c r="B2816" s="8">
        <v>32</v>
      </c>
      <c r="C2816" s="8">
        <v>20</v>
      </c>
      <c r="D2816" s="8" t="s">
        <v>1</v>
      </c>
      <c r="E2816" s="9">
        <v>5</v>
      </c>
    </row>
    <row r="2817" spans="1:5" x14ac:dyDescent="0.3">
      <c r="A2817" s="8">
        <v>168</v>
      </c>
      <c r="B2817" s="8">
        <v>32</v>
      </c>
      <c r="C2817" s="8" t="s">
        <v>26</v>
      </c>
      <c r="D2817" s="8" t="s">
        <v>64</v>
      </c>
      <c r="E2817" s="9">
        <f>5-3.89</f>
        <v>1.1099999999999999</v>
      </c>
    </row>
    <row r="2818" spans="1:5" x14ac:dyDescent="0.3">
      <c r="A2818" s="10">
        <v>168</v>
      </c>
      <c r="B2818" s="10">
        <v>32</v>
      </c>
      <c r="C2818" s="10">
        <v>35</v>
      </c>
      <c r="D2818" s="10" t="s">
        <v>1</v>
      </c>
      <c r="E2818" s="15">
        <f>3.635+1.48-0.328-0.274-0.739-0.328-0.411-0.4-0.094-0.048-0.404-0.338-0.09-0.114-0.766</f>
        <v>0.78100000000000014</v>
      </c>
    </row>
    <row r="2819" spans="1:5" x14ac:dyDescent="0.3">
      <c r="A2819" s="8">
        <v>168</v>
      </c>
      <c r="B2819" s="8">
        <v>32</v>
      </c>
      <c r="C2819" s="8">
        <v>35</v>
      </c>
      <c r="D2819" s="8" t="s">
        <v>1</v>
      </c>
      <c r="E2819" s="9">
        <v>5</v>
      </c>
    </row>
    <row r="2820" spans="1:5" x14ac:dyDescent="0.3">
      <c r="A2820" s="8">
        <v>168</v>
      </c>
      <c r="B2820" s="8">
        <v>32</v>
      </c>
      <c r="C2820" s="8">
        <v>45</v>
      </c>
      <c r="D2820" s="8" t="s">
        <v>1</v>
      </c>
      <c r="E2820" s="9">
        <v>5</v>
      </c>
    </row>
    <row r="2821" spans="1:5" x14ac:dyDescent="0.3">
      <c r="A2821" s="10">
        <v>168</v>
      </c>
      <c r="B2821" s="10">
        <v>32</v>
      </c>
      <c r="C2821" s="10" t="s">
        <v>30</v>
      </c>
      <c r="D2821" s="10" t="s">
        <v>1</v>
      </c>
      <c r="E2821" s="15">
        <f>4.7-0.186-0.243-0.614-0.166-0.804-0.815-0.076</f>
        <v>1.7960000000000003</v>
      </c>
    </row>
    <row r="2822" spans="1:5" x14ac:dyDescent="0.3">
      <c r="A2822" s="10">
        <v>168</v>
      </c>
      <c r="B2822" s="10">
        <v>32</v>
      </c>
      <c r="C2822" s="10" t="s">
        <v>30</v>
      </c>
      <c r="D2822" s="10" t="s">
        <v>1</v>
      </c>
      <c r="E2822" s="15">
        <f>1.78+0.9+2.67-3.641</f>
        <v>1.7089999999999996</v>
      </c>
    </row>
    <row r="2823" spans="1:5" x14ac:dyDescent="0.3">
      <c r="A2823" s="8">
        <v>168</v>
      </c>
      <c r="B2823" s="8">
        <v>36</v>
      </c>
      <c r="C2823" s="8">
        <v>20</v>
      </c>
      <c r="D2823" s="8" t="s">
        <v>1</v>
      </c>
      <c r="E2823" s="9">
        <v>5</v>
      </c>
    </row>
    <row r="2824" spans="1:5" x14ac:dyDescent="0.3">
      <c r="A2824" s="10">
        <v>168</v>
      </c>
      <c r="B2824" s="10">
        <v>36</v>
      </c>
      <c r="C2824" s="10" t="s">
        <v>26</v>
      </c>
      <c r="D2824" s="10" t="s">
        <v>64</v>
      </c>
      <c r="E2824" s="15">
        <f>9.88-0.65-1.307-0.183-2.793-0.061-0.389-0.078-0.034</f>
        <v>4.3849999999999998</v>
      </c>
    </row>
    <row r="2825" spans="1:5" x14ac:dyDescent="0.3">
      <c r="A2825" s="10">
        <v>168</v>
      </c>
      <c r="B2825" s="10">
        <v>36</v>
      </c>
      <c r="C2825" s="10">
        <v>35</v>
      </c>
      <c r="D2825" s="10" t="s">
        <v>1</v>
      </c>
      <c r="E2825" s="15">
        <f>5.77-0.019-0.619</f>
        <v>5.1319999999999997</v>
      </c>
    </row>
    <row r="2826" spans="1:5" x14ac:dyDescent="0.3">
      <c r="A2826" s="10">
        <v>168</v>
      </c>
      <c r="B2826" s="10">
        <v>36</v>
      </c>
      <c r="C2826" s="10">
        <v>45</v>
      </c>
      <c r="D2826" s="10" t="s">
        <v>1</v>
      </c>
      <c r="E2826" s="15">
        <f>12.25-0.761-0.764-0.123-0.761-1.538-0.606-0.773-0.264-1.771-0.761-0.165-1.175-0.24-0.313-0.548-0.253+1.825-1.425-1.689+0.056+5.33-0.018-0.493-0.593-0.18-0.692-0.906-0.242-0.064-1.841+0.163-0.24</f>
        <v>0.42500000000000226</v>
      </c>
    </row>
    <row r="2827" spans="1:5" x14ac:dyDescent="0.3">
      <c r="A2827" s="10">
        <v>168</v>
      </c>
      <c r="B2827" s="10">
        <v>36</v>
      </c>
      <c r="C2827" s="10">
        <v>45</v>
      </c>
      <c r="D2827" s="10" t="s">
        <v>1</v>
      </c>
      <c r="E2827" s="15">
        <v>1.841</v>
      </c>
    </row>
    <row r="2828" spans="1:5" x14ac:dyDescent="0.3">
      <c r="A2828" s="10">
        <v>168</v>
      </c>
      <c r="B2828" s="10">
        <v>36</v>
      </c>
      <c r="C2828" s="10" t="s">
        <v>28</v>
      </c>
      <c r="D2828" s="10" t="s">
        <v>1</v>
      </c>
      <c r="E2828" s="15">
        <f>10.835+0.91+1.78-0.937+7.205-0.148-1.845-0.065-0.065-0.923-0.057-1.855</f>
        <v>14.835000000000001</v>
      </c>
    </row>
    <row r="2829" spans="1:5" x14ac:dyDescent="0.3">
      <c r="A2829" s="8">
        <v>168</v>
      </c>
      <c r="B2829" s="8">
        <v>36</v>
      </c>
      <c r="C2829" s="8" t="s">
        <v>30</v>
      </c>
      <c r="D2829" s="8" t="s">
        <v>1</v>
      </c>
      <c r="E2829" s="9">
        <v>5</v>
      </c>
    </row>
    <row r="2830" spans="1:5" x14ac:dyDescent="0.3">
      <c r="A2830" s="10">
        <v>168</v>
      </c>
      <c r="B2830" s="10">
        <v>38</v>
      </c>
      <c r="C2830" s="10" t="s">
        <v>36</v>
      </c>
      <c r="D2830" s="10" t="s">
        <v>1</v>
      </c>
      <c r="E2830" s="15">
        <f>5.24-0.05</f>
        <v>5.19</v>
      </c>
    </row>
    <row r="2831" spans="1:5" x14ac:dyDescent="0.3">
      <c r="A2831" s="8">
        <v>168</v>
      </c>
      <c r="B2831" s="8">
        <v>40</v>
      </c>
      <c r="C2831" s="8">
        <v>20</v>
      </c>
      <c r="D2831" s="8" t="s">
        <v>1</v>
      </c>
      <c r="E2831" s="9">
        <v>5</v>
      </c>
    </row>
    <row r="2832" spans="1:5" x14ac:dyDescent="0.3">
      <c r="A2832" s="8">
        <v>168</v>
      </c>
      <c r="B2832" s="8">
        <v>40</v>
      </c>
      <c r="C2832" s="8">
        <v>35</v>
      </c>
      <c r="D2832" s="8" t="s">
        <v>1</v>
      </c>
      <c r="E2832" s="9">
        <v>5</v>
      </c>
    </row>
    <row r="2833" spans="1:5" x14ac:dyDescent="0.3">
      <c r="A2833" s="10">
        <v>168</v>
      </c>
      <c r="B2833" s="10">
        <v>40</v>
      </c>
      <c r="C2833" s="10">
        <v>45</v>
      </c>
      <c r="D2833" s="10" t="s">
        <v>1</v>
      </c>
      <c r="E2833" s="15">
        <f>1.844-0.199</f>
        <v>1.645</v>
      </c>
    </row>
    <row r="2834" spans="1:5" x14ac:dyDescent="0.3">
      <c r="A2834" s="8">
        <v>168</v>
      </c>
      <c r="B2834" s="8">
        <v>40</v>
      </c>
      <c r="C2834" s="8" t="s">
        <v>28</v>
      </c>
      <c r="D2834" s="8" t="s">
        <v>1</v>
      </c>
      <c r="E2834" s="9">
        <f>4.748-1.172-0.133-0.035-1.191-0.046-0.434-0.561-0.595+0.009-0.222-0.096-0.236+6.993-2.268-0.21-0.167-0.323-0.445-0.421-0.77-0.221-0.804-0.806-0.197-0.21-0.018</f>
        <v>0.16900000000000098</v>
      </c>
    </row>
    <row r="2835" spans="1:5" x14ac:dyDescent="0.3">
      <c r="A2835" s="10">
        <v>168</v>
      </c>
      <c r="B2835" s="10">
        <v>40</v>
      </c>
      <c r="C2835" s="10" t="s">
        <v>28</v>
      </c>
      <c r="D2835" s="10" t="s">
        <v>1</v>
      </c>
      <c r="E2835" s="15">
        <f>2.62+2.59-0.312-0.183</f>
        <v>4.7149999999999999</v>
      </c>
    </row>
    <row r="2836" spans="1:5" x14ac:dyDescent="0.3">
      <c r="A2836" s="10">
        <v>168</v>
      </c>
      <c r="B2836" s="10">
        <v>40</v>
      </c>
      <c r="C2836" s="10" t="s">
        <v>30</v>
      </c>
      <c r="D2836" s="10" t="s">
        <v>1</v>
      </c>
      <c r="E2836" s="15">
        <f>7.359-0.352-0.542-0.067-0.363-0.204-0.082-0.132-0.39-0.225-0.931-0.133-0.165-0.041</f>
        <v>3.7320000000000015</v>
      </c>
    </row>
    <row r="2837" spans="1:5" x14ac:dyDescent="0.3">
      <c r="A2837" s="10">
        <v>168</v>
      </c>
      <c r="B2837" s="10">
        <v>40</v>
      </c>
      <c r="C2837" s="10" t="s">
        <v>106</v>
      </c>
      <c r="D2837" s="10" t="s">
        <v>1</v>
      </c>
      <c r="E2837" s="15">
        <f>2.35+2.35</f>
        <v>4.7</v>
      </c>
    </row>
    <row r="2838" spans="1:5" x14ac:dyDescent="0.3">
      <c r="A2838" s="8">
        <v>168</v>
      </c>
      <c r="B2838" s="8">
        <v>45</v>
      </c>
      <c r="C2838" s="8">
        <v>20</v>
      </c>
      <c r="D2838" s="8" t="s">
        <v>1</v>
      </c>
      <c r="E2838" s="9">
        <f>3.82-0.591-0.617-0.644-0.284-0.143-0.05</f>
        <v>1.4909999999999999</v>
      </c>
    </row>
    <row r="2839" spans="1:5" x14ac:dyDescent="0.3">
      <c r="A2839" s="8">
        <v>168</v>
      </c>
      <c r="B2839" s="8">
        <v>45</v>
      </c>
      <c r="C2839" s="8">
        <v>20</v>
      </c>
      <c r="D2839" s="8" t="s">
        <v>1</v>
      </c>
      <c r="E2839" s="9">
        <v>5</v>
      </c>
    </row>
    <row r="2840" spans="1:5" x14ac:dyDescent="0.3">
      <c r="A2840" s="10">
        <v>168</v>
      </c>
      <c r="B2840" s="10">
        <v>45</v>
      </c>
      <c r="C2840" s="10" t="s">
        <v>26</v>
      </c>
      <c r="D2840" s="10" t="s">
        <v>64</v>
      </c>
      <c r="E2840" s="15">
        <f>4.34-0.59+3.71-4.767-1.501</f>
        <v>1.1919999999999997</v>
      </c>
    </row>
    <row r="2841" spans="1:5" x14ac:dyDescent="0.3">
      <c r="A2841" s="8">
        <v>168</v>
      </c>
      <c r="B2841" s="8">
        <v>45</v>
      </c>
      <c r="C2841" s="8" t="s">
        <v>26</v>
      </c>
      <c r="D2841" s="8" t="s">
        <v>64</v>
      </c>
      <c r="E2841" s="9">
        <v>10</v>
      </c>
    </row>
    <row r="2842" spans="1:5" x14ac:dyDescent="0.3">
      <c r="A2842" s="8">
        <v>168</v>
      </c>
      <c r="B2842" s="8">
        <v>45</v>
      </c>
      <c r="C2842" s="8">
        <v>35</v>
      </c>
      <c r="D2842" s="8" t="s">
        <v>1</v>
      </c>
      <c r="E2842" s="9">
        <v>5</v>
      </c>
    </row>
    <row r="2843" spans="1:5" x14ac:dyDescent="0.3">
      <c r="A2843" s="8">
        <v>168</v>
      </c>
      <c r="B2843" s="8">
        <v>45</v>
      </c>
      <c r="C2843" s="8">
        <v>45</v>
      </c>
      <c r="D2843" s="8" t="s">
        <v>1</v>
      </c>
      <c r="E2843" s="9">
        <v>5</v>
      </c>
    </row>
    <row r="2844" spans="1:5" x14ac:dyDescent="0.3">
      <c r="A2844" s="10">
        <v>168</v>
      </c>
      <c r="B2844" s="10">
        <v>45</v>
      </c>
      <c r="C2844" s="10" t="s">
        <v>36</v>
      </c>
      <c r="D2844" s="10" t="s">
        <v>1</v>
      </c>
      <c r="E2844" s="15">
        <f>2.61+2.67+0.88+2.66-0.062-2.66-0.109-0.074</f>
        <v>5.9150000000000009</v>
      </c>
    </row>
    <row r="2845" spans="1:5" x14ac:dyDescent="0.3">
      <c r="A2845" s="10">
        <v>168</v>
      </c>
      <c r="B2845" s="10">
        <v>45</v>
      </c>
      <c r="C2845" s="10" t="s">
        <v>36</v>
      </c>
      <c r="D2845" s="10" t="s">
        <v>1</v>
      </c>
      <c r="E2845" s="15">
        <v>2.6150000000000002</v>
      </c>
    </row>
    <row r="2846" spans="1:5" x14ac:dyDescent="0.3">
      <c r="A2846" s="10">
        <v>168</v>
      </c>
      <c r="B2846" s="10">
        <v>45</v>
      </c>
      <c r="C2846" s="10" t="s">
        <v>28</v>
      </c>
      <c r="D2846" s="10" t="s">
        <v>1</v>
      </c>
      <c r="E2846" s="15">
        <f>2.815+2.105-0.212-0.712-1.854-0.109-0.717-0.278-0.735-0.067-0.145</f>
        <v>9.1000000000000275E-2</v>
      </c>
    </row>
    <row r="2847" spans="1:5" x14ac:dyDescent="0.3">
      <c r="A2847" s="10">
        <v>168</v>
      </c>
      <c r="B2847" s="10">
        <v>45</v>
      </c>
      <c r="C2847" s="10" t="s">
        <v>28</v>
      </c>
      <c r="D2847" s="10" t="s">
        <v>1</v>
      </c>
      <c r="E2847" s="15">
        <f>2.37+2.34-0.282</f>
        <v>4.4279999999999999</v>
      </c>
    </row>
    <row r="2848" spans="1:5" x14ac:dyDescent="0.3">
      <c r="A2848" s="10">
        <v>168</v>
      </c>
      <c r="B2848" s="10">
        <v>45</v>
      </c>
      <c r="C2848" s="10" t="s">
        <v>30</v>
      </c>
      <c r="D2848" s="10" t="s">
        <v>1</v>
      </c>
      <c r="E2848" s="15">
        <f>2.585+2.615-0.89-0.282-0.584</f>
        <v>3.4440000000000004</v>
      </c>
    </row>
    <row r="2849" spans="1:5" x14ac:dyDescent="0.3">
      <c r="A2849" s="8">
        <v>168</v>
      </c>
      <c r="B2849" s="8">
        <v>50</v>
      </c>
      <c r="C2849" s="8">
        <v>20</v>
      </c>
      <c r="D2849" s="8" t="s">
        <v>1</v>
      </c>
      <c r="E2849" s="9">
        <v>5</v>
      </c>
    </row>
    <row r="2850" spans="1:5" x14ac:dyDescent="0.3">
      <c r="A2850" s="8">
        <v>168</v>
      </c>
      <c r="B2850" s="8">
        <v>50</v>
      </c>
      <c r="C2850" s="8">
        <v>45</v>
      </c>
      <c r="D2850" s="8" t="s">
        <v>1</v>
      </c>
      <c r="E2850" s="9">
        <v>5</v>
      </c>
    </row>
    <row r="2851" spans="1:5" x14ac:dyDescent="0.3">
      <c r="A2851" s="8">
        <v>168</v>
      </c>
      <c r="B2851" s="8">
        <v>50</v>
      </c>
      <c r="C2851" s="8" t="s">
        <v>28</v>
      </c>
      <c r="D2851" s="8" t="s">
        <v>1</v>
      </c>
      <c r="E2851" s="9">
        <f>2.585+2.58</f>
        <v>5.165</v>
      </c>
    </row>
    <row r="2852" spans="1:5" x14ac:dyDescent="0.3">
      <c r="A2852" s="8">
        <v>168</v>
      </c>
      <c r="B2852" s="8">
        <v>50</v>
      </c>
      <c r="C2852" s="8" t="s">
        <v>30</v>
      </c>
      <c r="D2852" s="8" t="s">
        <v>1</v>
      </c>
      <c r="E2852" s="9">
        <v>5</v>
      </c>
    </row>
    <row r="2853" spans="1:5" x14ac:dyDescent="0.3">
      <c r="A2853" s="10">
        <v>170</v>
      </c>
      <c r="B2853" s="10">
        <v>22</v>
      </c>
      <c r="C2853" s="10" t="s">
        <v>30</v>
      </c>
      <c r="D2853" s="10" t="s">
        <v>1</v>
      </c>
      <c r="E2853" s="15">
        <v>7</v>
      </c>
    </row>
    <row r="2854" spans="1:5" x14ac:dyDescent="0.3">
      <c r="A2854" s="10">
        <v>178</v>
      </c>
      <c r="B2854" s="10">
        <v>8</v>
      </c>
      <c r="C2854" s="10" t="s">
        <v>26</v>
      </c>
      <c r="D2854" s="10" t="s">
        <v>64</v>
      </c>
      <c r="E2854" s="15">
        <f>1.54-0.793-0.037-0.037-0.019-0.02-0.047-0.037-0.009-0.107-0.211-0.02-0.009</f>
        <v>0.19399999999999984</v>
      </c>
    </row>
    <row r="2855" spans="1:5" x14ac:dyDescent="0.3">
      <c r="A2855" s="10">
        <v>177.8</v>
      </c>
      <c r="B2855" s="10">
        <v>9.19</v>
      </c>
      <c r="C2855" s="8" t="s">
        <v>94</v>
      </c>
      <c r="D2855" s="8" t="s">
        <v>7</v>
      </c>
      <c r="E2855" s="15">
        <f>0.302-0.033-0.06</f>
        <v>0.20900000000000002</v>
      </c>
    </row>
    <row r="2856" spans="1:5" x14ac:dyDescent="0.3">
      <c r="A2856" s="10">
        <v>177.8</v>
      </c>
      <c r="B2856" s="10">
        <v>12.5</v>
      </c>
      <c r="C2856" s="10" t="s">
        <v>65</v>
      </c>
      <c r="D2856" s="10" t="s">
        <v>57</v>
      </c>
      <c r="E2856" s="15">
        <v>0.63600000000000001</v>
      </c>
    </row>
    <row r="2857" spans="1:5" x14ac:dyDescent="0.3">
      <c r="A2857" s="10">
        <v>178</v>
      </c>
      <c r="B2857" s="10">
        <v>10</v>
      </c>
      <c r="C2857" s="10" t="s">
        <v>30</v>
      </c>
      <c r="D2857" s="10" t="s">
        <v>1</v>
      </c>
      <c r="E2857" s="15">
        <v>5</v>
      </c>
    </row>
    <row r="2858" spans="1:5" x14ac:dyDescent="0.3">
      <c r="A2858" s="10">
        <v>178</v>
      </c>
      <c r="B2858" s="10">
        <v>28</v>
      </c>
      <c r="C2858" s="10">
        <v>45</v>
      </c>
      <c r="D2858" s="10" t="s">
        <v>1</v>
      </c>
      <c r="E2858" s="15">
        <f>4.922-0.502-0.828-0.109-0.242-0.058-0.161-0.242-0.13-0.337-0.136-0.83-0.85-0.044-0.05</f>
        <v>0.40300000000000002</v>
      </c>
    </row>
    <row r="2859" spans="1:5" x14ac:dyDescent="0.3">
      <c r="A2859" s="8">
        <v>178</v>
      </c>
      <c r="B2859" s="8">
        <v>28</v>
      </c>
      <c r="C2859" s="8">
        <v>45</v>
      </c>
      <c r="D2859" s="8" t="s">
        <v>1</v>
      </c>
      <c r="E2859" s="9">
        <v>5</v>
      </c>
    </row>
    <row r="2860" spans="1:5" x14ac:dyDescent="0.3">
      <c r="A2860" s="8">
        <v>178</v>
      </c>
      <c r="B2860" s="8">
        <v>55</v>
      </c>
      <c r="C2860" s="8" t="s">
        <v>28</v>
      </c>
      <c r="D2860" s="8" t="s">
        <v>1</v>
      </c>
      <c r="E2860" s="9">
        <f>2.69+1.793-3.851+0.35+3.851</f>
        <v>4.8329999999999993</v>
      </c>
    </row>
    <row r="2861" spans="1:5" x14ac:dyDescent="0.3">
      <c r="A2861" s="8">
        <v>180</v>
      </c>
      <c r="B2861" s="8">
        <v>6</v>
      </c>
      <c r="C2861" s="8" t="s">
        <v>26</v>
      </c>
      <c r="D2861" s="8" t="s">
        <v>64</v>
      </c>
      <c r="E2861" s="9">
        <f>2.19+2.12-0.076-0.012-0.041-0.092-0.12-0.128-0.699-0.068-0.055-0.059-0.161-0.443-0.161-0.081-0.061-0.067-0.082-0.021-0.071-0.015-0.162-0.022</f>
        <v>1.6130000000000011</v>
      </c>
    </row>
    <row r="2862" spans="1:5" x14ac:dyDescent="0.3">
      <c r="A2862" s="10">
        <v>180</v>
      </c>
      <c r="B2862" s="10">
        <v>7</v>
      </c>
      <c r="C2862" s="10">
        <v>20</v>
      </c>
      <c r="D2862" s="10" t="s">
        <v>1</v>
      </c>
      <c r="E2862" s="15">
        <f>0.46+1.525+2.826+2.757+0.216-0.12-0.036-0.111-0.061-0.221-0.048-0.039-0.041-0.013+1.123-0.035-0.068-0.052-0.092-0.051-0.13-0.282-0.014-0.06-0.125-0.037-0.045-0.04-0.017-0.126-0.04-0.038-0.008-0.034-0.11-0.041-0.079-0.144+0.11-0.085-0.189-0.1-0.063-0.033-0.033-0.018-0.032-0.072-0.006-0.037-0.134-0.082-0.035-0.005-0.029-0.011-0.037-0.034</f>
        <v>5.6240000000000006</v>
      </c>
    </row>
    <row r="2863" spans="1:5" x14ac:dyDescent="0.3">
      <c r="A2863" s="8">
        <v>180</v>
      </c>
      <c r="B2863" s="8">
        <v>8</v>
      </c>
      <c r="C2863" s="8">
        <v>20</v>
      </c>
      <c r="D2863" s="8" t="s">
        <v>1</v>
      </c>
      <c r="E2863" s="9">
        <v>5</v>
      </c>
    </row>
    <row r="2864" spans="1:5" x14ac:dyDescent="0.3">
      <c r="A2864" s="8">
        <v>180</v>
      </c>
      <c r="B2864" s="8">
        <v>8</v>
      </c>
      <c r="C2864" s="8" t="s">
        <v>26</v>
      </c>
      <c r="D2864" s="8" t="s">
        <v>64</v>
      </c>
      <c r="E2864" s="9">
        <f>3.86-0.421+1.25-0.107-0.016-0.037-1.469-0.029-1.802-0.015-0.064-0.016-0.019</f>
        <v>1.1149999999999998</v>
      </c>
    </row>
    <row r="2865" spans="1:5" x14ac:dyDescent="0.3">
      <c r="A2865" s="10">
        <v>180</v>
      </c>
      <c r="B2865" s="10">
        <v>8</v>
      </c>
      <c r="C2865" s="10">
        <v>45</v>
      </c>
      <c r="D2865" s="10" t="s">
        <v>1</v>
      </c>
      <c r="E2865" s="15">
        <f>5.05+0.69-0.084-0.074-1.033-0.029-0.075</f>
        <v>4.4450000000000012</v>
      </c>
    </row>
    <row r="2866" spans="1:5" x14ac:dyDescent="0.3">
      <c r="A2866" s="10">
        <v>180</v>
      </c>
      <c r="B2866" s="10">
        <v>8</v>
      </c>
      <c r="C2866" s="10" t="s">
        <v>28</v>
      </c>
      <c r="D2866" s="10" t="s">
        <v>1</v>
      </c>
      <c r="E2866" s="15">
        <v>5.14</v>
      </c>
    </row>
    <row r="2867" spans="1:5" x14ac:dyDescent="0.3">
      <c r="A2867" s="8">
        <v>180</v>
      </c>
      <c r="B2867" s="8">
        <v>10</v>
      </c>
      <c r="C2867" s="8">
        <v>20</v>
      </c>
      <c r="D2867" s="8" t="s">
        <v>1</v>
      </c>
      <c r="E2867" s="9">
        <v>5</v>
      </c>
    </row>
    <row r="2868" spans="1:5" x14ac:dyDescent="0.3">
      <c r="A2868" s="10">
        <v>180</v>
      </c>
      <c r="B2868" s="10">
        <v>10</v>
      </c>
      <c r="C2868" s="10" t="s">
        <v>26</v>
      </c>
      <c r="D2868" s="10" t="s">
        <v>1</v>
      </c>
      <c r="E2868" s="15">
        <f>6.12+1.4+0.17-0.094-0.035-4.21-0.134-0.135-0.289-0.09-0.218-0.073-0.068-0.031-0.047-0.046-0.073-0.038-0.02-0.135-0.135-0.091-0.179-0.125-0.134-0.308-0.038-0.036-0.047-0.054-0.016-0.037-0.047-0.025-0.2-0.08-0.055-0.009-0.225-0.009-0.084-0.008-0.014+0.132-0.02-0.029</f>
        <v>8.0999999999998809E-2</v>
      </c>
    </row>
    <row r="2869" spans="1:5" x14ac:dyDescent="0.3">
      <c r="A2869" s="8">
        <v>180</v>
      </c>
      <c r="B2869" s="8">
        <v>10</v>
      </c>
      <c r="C2869" s="8" t="s">
        <v>26</v>
      </c>
      <c r="D2869" s="8" t="s">
        <v>64</v>
      </c>
      <c r="E2869" s="9">
        <f>3.15-0.13+2.13-0.079-0.212-0.131-0.048-0.045-0.05</f>
        <v>4.5850000000000009</v>
      </c>
    </row>
    <row r="2870" spans="1:5" x14ac:dyDescent="0.3">
      <c r="A2870" s="8">
        <v>180</v>
      </c>
      <c r="B2870" s="8">
        <v>10</v>
      </c>
      <c r="C2870" s="8">
        <v>45</v>
      </c>
      <c r="D2870" s="8" t="s">
        <v>1</v>
      </c>
      <c r="E2870" s="9">
        <v>5</v>
      </c>
    </row>
    <row r="2871" spans="1:5" x14ac:dyDescent="0.3">
      <c r="A2871" s="8">
        <v>180</v>
      </c>
      <c r="B2871" s="8">
        <v>10</v>
      </c>
      <c r="C2871" s="8" t="s">
        <v>30</v>
      </c>
      <c r="D2871" s="8" t="s">
        <v>1</v>
      </c>
      <c r="E2871" s="9">
        <v>5</v>
      </c>
    </row>
    <row r="2872" spans="1:5" x14ac:dyDescent="0.3">
      <c r="A2872" s="8">
        <v>180</v>
      </c>
      <c r="B2872" s="8">
        <v>12</v>
      </c>
      <c r="C2872" s="8">
        <v>20</v>
      </c>
      <c r="D2872" s="8" t="s">
        <v>1</v>
      </c>
      <c r="E2872" s="9">
        <v>5</v>
      </c>
    </row>
    <row r="2873" spans="1:5" x14ac:dyDescent="0.3">
      <c r="A2873" s="8">
        <v>180</v>
      </c>
      <c r="B2873" s="8">
        <v>12</v>
      </c>
      <c r="C2873" s="8" t="s">
        <v>26</v>
      </c>
      <c r="D2873" s="8" t="s">
        <v>1</v>
      </c>
      <c r="E2873" s="9">
        <f>10.39-0.736-0.022-0.333-0.083-0.361-0.362-0.103-0.033-0.267-0.028-0.035-0.013-0.04-0.013-0.104-0.36-0.35-0.363-0.009-0.355-0.053-0.102-0.052-0.229-0.23-0.721-0.102-1.442-0.128-0.72-0.461-0.179-0.051-0.485-0.053-0.179-0.356-0.053-0.033</f>
        <v>0.79099999999999759</v>
      </c>
    </row>
    <row r="2874" spans="1:5" x14ac:dyDescent="0.3">
      <c r="A2874" s="8">
        <v>180</v>
      </c>
      <c r="B2874" s="8">
        <v>12</v>
      </c>
      <c r="C2874" s="8">
        <v>45</v>
      </c>
      <c r="D2874" s="8" t="s">
        <v>1</v>
      </c>
      <c r="E2874" s="9">
        <v>5</v>
      </c>
    </row>
    <row r="2875" spans="1:5" x14ac:dyDescent="0.3">
      <c r="A2875" s="10">
        <v>180</v>
      </c>
      <c r="B2875" s="10">
        <v>12</v>
      </c>
      <c r="C2875" s="10" t="s">
        <v>28</v>
      </c>
      <c r="D2875" s="10" t="s">
        <v>1</v>
      </c>
      <c r="E2875" s="15">
        <f>5.14-0.522-0.156-0.054-0.029-0.344-0.311-0.71-0.221-0.207</f>
        <v>2.5859999999999994</v>
      </c>
    </row>
    <row r="2876" spans="1:5" x14ac:dyDescent="0.3">
      <c r="A2876" s="8">
        <v>180</v>
      </c>
      <c r="B2876" s="8">
        <v>12</v>
      </c>
      <c r="C2876" s="8" t="s">
        <v>30</v>
      </c>
      <c r="D2876" s="8" t="s">
        <v>1</v>
      </c>
      <c r="E2876" s="9">
        <v>5</v>
      </c>
    </row>
    <row r="2877" spans="1:5" x14ac:dyDescent="0.3">
      <c r="A2877" s="8">
        <v>180</v>
      </c>
      <c r="B2877" s="8">
        <v>14</v>
      </c>
      <c r="C2877" s="8">
        <v>20</v>
      </c>
      <c r="D2877" s="8" t="s">
        <v>1</v>
      </c>
      <c r="E2877" s="9">
        <v>5</v>
      </c>
    </row>
    <row r="2878" spans="1:5" x14ac:dyDescent="0.3">
      <c r="A2878" s="10">
        <v>180</v>
      </c>
      <c r="B2878" s="10">
        <v>14</v>
      </c>
      <c r="C2878" s="10">
        <v>35</v>
      </c>
      <c r="D2878" s="10" t="s">
        <v>1</v>
      </c>
      <c r="E2878" s="15">
        <f>5.17-0.511-0.561-0.553-0.178-0.348-0.061-0.09</f>
        <v>2.8680000000000003</v>
      </c>
    </row>
    <row r="2879" spans="1:5" x14ac:dyDescent="0.3">
      <c r="A2879" s="10">
        <v>180</v>
      </c>
      <c r="B2879" s="10">
        <v>14</v>
      </c>
      <c r="C2879" s="10" t="s">
        <v>65</v>
      </c>
      <c r="D2879" s="10" t="s">
        <v>77</v>
      </c>
      <c r="E2879" s="15">
        <f>5.173-0.505-0.119-0.055-1.553-1.581-0.168-0.676</f>
        <v>0.51600000000000079</v>
      </c>
    </row>
    <row r="2880" spans="1:5" x14ac:dyDescent="0.3">
      <c r="A2880" s="10">
        <v>180</v>
      </c>
      <c r="B2880" s="10">
        <v>14</v>
      </c>
      <c r="C2880" s="10" t="s">
        <v>65</v>
      </c>
      <c r="D2880" s="10" t="s">
        <v>77</v>
      </c>
      <c r="E2880" s="15">
        <f>1.553-0.047+1.581-0.108</f>
        <v>2.9789999999999996</v>
      </c>
    </row>
    <row r="2881" spans="1:5" x14ac:dyDescent="0.3">
      <c r="A2881" s="10">
        <v>180</v>
      </c>
      <c r="B2881" s="10">
        <v>14</v>
      </c>
      <c r="C2881" s="10" t="s">
        <v>28</v>
      </c>
      <c r="D2881" s="10" t="s">
        <v>1</v>
      </c>
      <c r="E2881" s="15">
        <f>6.15-0.177-0.235</f>
        <v>5.7380000000000004</v>
      </c>
    </row>
    <row r="2882" spans="1:5" x14ac:dyDescent="0.3">
      <c r="A2882" s="10">
        <v>180</v>
      </c>
      <c r="B2882" s="10">
        <v>14</v>
      </c>
      <c r="C2882" s="10" t="s">
        <v>30</v>
      </c>
      <c r="D2882" s="10" t="s">
        <v>1</v>
      </c>
      <c r="E2882" s="15">
        <f>5.38-0.236-0.51-0.016-0.115-0.266-2.187-1.655</f>
        <v>0.39500000000000024</v>
      </c>
    </row>
    <row r="2883" spans="1:5" x14ac:dyDescent="0.3">
      <c r="A2883" s="10">
        <v>180</v>
      </c>
      <c r="B2883" s="10">
        <v>15</v>
      </c>
      <c r="C2883" s="10" t="s">
        <v>30</v>
      </c>
      <c r="D2883" s="10" t="s">
        <v>1</v>
      </c>
      <c r="E2883" s="15">
        <f>0.681-0.009-0.208</f>
        <v>0.46400000000000008</v>
      </c>
    </row>
    <row r="2884" spans="1:5" x14ac:dyDescent="0.3">
      <c r="A2884" s="8">
        <v>180</v>
      </c>
      <c r="B2884" s="8">
        <v>16</v>
      </c>
      <c r="C2884" s="8">
        <v>20</v>
      </c>
      <c r="D2884" s="8" t="s">
        <v>1</v>
      </c>
      <c r="E2884" s="9">
        <v>5</v>
      </c>
    </row>
    <row r="2885" spans="1:5" x14ac:dyDescent="0.3">
      <c r="A2885" s="10">
        <v>180</v>
      </c>
      <c r="B2885" s="10">
        <v>16</v>
      </c>
      <c r="C2885" s="10" t="s">
        <v>26</v>
      </c>
      <c r="D2885" s="10" t="s">
        <v>64</v>
      </c>
      <c r="E2885" s="15">
        <f>0.97+4.21-0.548-0.022-0.069-0.03-0.201-0.087-0.5-0.156-0.534-0.546-0.069-0.06-0.07-0.169-0.035-0.069-0.037-0.135-0.07-0.263-0.201-0.135-0.035</f>
        <v>1.1389999999999993</v>
      </c>
    </row>
    <row r="2886" spans="1:5" x14ac:dyDescent="0.3">
      <c r="A2886" s="10">
        <v>180</v>
      </c>
      <c r="B2886" s="10">
        <v>16</v>
      </c>
      <c r="C2886" s="10" t="s">
        <v>65</v>
      </c>
      <c r="D2886" s="10" t="s">
        <v>77</v>
      </c>
      <c r="E2886" s="15">
        <f>0.02+4.289-0.069-0.071-3.772-0.38</f>
        <v>1.6999999999999793E-2</v>
      </c>
    </row>
    <row r="2887" spans="1:5" x14ac:dyDescent="0.3">
      <c r="A2887" s="10">
        <v>180</v>
      </c>
      <c r="B2887" s="10">
        <v>16</v>
      </c>
      <c r="C2887" s="10" t="s">
        <v>65</v>
      </c>
      <c r="D2887" s="10" t="s">
        <v>77</v>
      </c>
      <c r="E2887" s="15">
        <f>3.772-0.102-0.104</f>
        <v>3.5659999999999998</v>
      </c>
    </row>
    <row r="2888" spans="1:5" x14ac:dyDescent="0.3">
      <c r="A2888" s="8">
        <v>180</v>
      </c>
      <c r="B2888" s="8">
        <v>16</v>
      </c>
      <c r="C2888" s="8">
        <v>35</v>
      </c>
      <c r="D2888" s="8" t="s">
        <v>1</v>
      </c>
      <c r="E2888" s="9">
        <v>5</v>
      </c>
    </row>
    <row r="2889" spans="1:5" x14ac:dyDescent="0.3">
      <c r="A2889" s="8">
        <v>180</v>
      </c>
      <c r="B2889" s="8">
        <v>16</v>
      </c>
      <c r="C2889" s="8">
        <v>45</v>
      </c>
      <c r="D2889" s="8" t="s">
        <v>1</v>
      </c>
      <c r="E2889" s="9">
        <v>5</v>
      </c>
    </row>
    <row r="2890" spans="1:5" x14ac:dyDescent="0.3">
      <c r="A2890" s="10">
        <v>180</v>
      </c>
      <c r="B2890" s="10">
        <v>16</v>
      </c>
      <c r="C2890" s="10" t="s">
        <v>28</v>
      </c>
      <c r="D2890" s="10" t="s">
        <v>1</v>
      </c>
      <c r="E2890" s="15">
        <f>3.27-0.557+3.785-0.544-1.096-3.24-0.552-0.556</f>
        <v>0.51000000000000023</v>
      </c>
    </row>
    <row r="2891" spans="1:5" x14ac:dyDescent="0.3">
      <c r="A2891" s="8">
        <v>180</v>
      </c>
      <c r="B2891" s="8">
        <v>16</v>
      </c>
      <c r="C2891" s="8" t="s">
        <v>28</v>
      </c>
      <c r="D2891" s="8" t="s">
        <v>1</v>
      </c>
      <c r="E2891" s="9">
        <f>10.8-0.017-8.018-0.254-0.039-0.533</f>
        <v>1.9390000000000005</v>
      </c>
    </row>
    <row r="2892" spans="1:5" x14ac:dyDescent="0.3">
      <c r="A2892" s="8">
        <v>180</v>
      </c>
      <c r="B2892" s="8">
        <v>16</v>
      </c>
      <c r="C2892" s="8" t="s">
        <v>28</v>
      </c>
      <c r="D2892" s="8" t="s">
        <v>1</v>
      </c>
      <c r="E2892" s="9">
        <f>8.018-1.589</f>
        <v>6.4290000000000003</v>
      </c>
    </row>
    <row r="2893" spans="1:5" x14ac:dyDescent="0.3">
      <c r="A2893" s="10">
        <v>180</v>
      </c>
      <c r="B2893" s="10">
        <v>16</v>
      </c>
      <c r="C2893" s="10" t="s">
        <v>30</v>
      </c>
      <c r="D2893" s="10" t="s">
        <v>1</v>
      </c>
      <c r="E2893" s="15">
        <f>2.35+2.93-0.332-0.016-0.6-1.203-0.604-1.466-0.07-0.6</f>
        <v>0.38900000000000035</v>
      </c>
    </row>
    <row r="2894" spans="1:5" x14ac:dyDescent="0.3">
      <c r="A2894" s="8">
        <v>180</v>
      </c>
      <c r="B2894" s="8">
        <v>16</v>
      </c>
      <c r="C2894" s="8" t="s">
        <v>30</v>
      </c>
      <c r="D2894" s="8" t="s">
        <v>1</v>
      </c>
      <c r="E2894" s="9">
        <v>5</v>
      </c>
    </row>
    <row r="2895" spans="1:5" x14ac:dyDescent="0.3">
      <c r="A2895" s="8">
        <v>180</v>
      </c>
      <c r="B2895" s="8">
        <v>18</v>
      </c>
      <c r="C2895" s="8">
        <v>20</v>
      </c>
      <c r="D2895" s="8" t="s">
        <v>1</v>
      </c>
      <c r="E2895" s="9">
        <v>5</v>
      </c>
    </row>
    <row r="2896" spans="1:5" x14ac:dyDescent="0.3">
      <c r="A2896" s="10">
        <v>180</v>
      </c>
      <c r="B2896" s="10">
        <v>18</v>
      </c>
      <c r="C2896" s="10" t="s">
        <v>26</v>
      </c>
      <c r="D2896" s="10" t="s">
        <v>64</v>
      </c>
      <c r="E2896" s="15">
        <f>3.7-0.457+2.4-0.476-0.52-0.15-1.331-0.548-0.083-0.192</f>
        <v>2.3429999999999995</v>
      </c>
    </row>
    <row r="2897" spans="1:5" x14ac:dyDescent="0.3">
      <c r="A2897" s="10">
        <v>180</v>
      </c>
      <c r="B2897" s="10">
        <v>18</v>
      </c>
      <c r="C2897" s="10" t="s">
        <v>37</v>
      </c>
      <c r="D2897" s="10" t="s">
        <v>1</v>
      </c>
      <c r="E2897" s="15">
        <v>0.45700000000000002</v>
      </c>
    </row>
    <row r="2898" spans="1:5" x14ac:dyDescent="0.3">
      <c r="A2898" s="8">
        <v>180</v>
      </c>
      <c r="B2898" s="8">
        <v>20</v>
      </c>
      <c r="C2898" s="8">
        <v>20</v>
      </c>
      <c r="D2898" s="8" t="s">
        <v>1</v>
      </c>
      <c r="E2898" s="9">
        <f>5.06-0.02-0.012-0.244-0.064-0.291-0.251-0.028-0.127-0.403-0.042-0.738-0.024-0.214</f>
        <v>2.6020000000000008</v>
      </c>
    </row>
    <row r="2899" spans="1:5" x14ac:dyDescent="0.3">
      <c r="A2899" s="8">
        <v>180</v>
      </c>
      <c r="B2899" s="8">
        <v>20</v>
      </c>
      <c r="C2899" s="8" t="s">
        <v>26</v>
      </c>
      <c r="D2899" s="8" t="s">
        <v>64</v>
      </c>
      <c r="E2899" s="9">
        <v>10</v>
      </c>
    </row>
    <row r="2900" spans="1:5" x14ac:dyDescent="0.3">
      <c r="A2900" s="8">
        <v>180</v>
      </c>
      <c r="B2900" s="8">
        <v>20</v>
      </c>
      <c r="C2900" s="8">
        <v>35</v>
      </c>
      <c r="D2900" s="8" t="s">
        <v>1</v>
      </c>
      <c r="E2900" s="9">
        <v>5</v>
      </c>
    </row>
    <row r="2901" spans="1:5" x14ac:dyDescent="0.3">
      <c r="A2901" s="8">
        <v>180</v>
      </c>
      <c r="B2901" s="8">
        <v>20</v>
      </c>
      <c r="C2901" s="8">
        <v>45</v>
      </c>
      <c r="D2901" s="8" t="s">
        <v>1</v>
      </c>
      <c r="E2901" s="9">
        <v>5</v>
      </c>
    </row>
    <row r="2902" spans="1:5" x14ac:dyDescent="0.3">
      <c r="A2902" s="8">
        <v>180</v>
      </c>
      <c r="B2902" s="8">
        <v>20</v>
      </c>
      <c r="C2902" s="8" t="s">
        <v>28</v>
      </c>
      <c r="D2902" s="8" t="s">
        <v>1</v>
      </c>
      <c r="E2902" s="9">
        <f>8.34-0.108-0.625-3.888-0.282-1.278-0.246+0.615-0.651+5.2-0.666</f>
        <v>6.4109999999999996</v>
      </c>
    </row>
    <row r="2903" spans="1:5" x14ac:dyDescent="0.3">
      <c r="A2903" s="8">
        <v>180</v>
      </c>
      <c r="B2903" s="8">
        <v>20</v>
      </c>
      <c r="C2903" s="8" t="s">
        <v>30</v>
      </c>
      <c r="D2903" s="8" t="s">
        <v>1</v>
      </c>
      <c r="E2903" s="9">
        <v>5</v>
      </c>
    </row>
    <row r="2904" spans="1:5" x14ac:dyDescent="0.3">
      <c r="A2904" s="8">
        <v>180</v>
      </c>
      <c r="B2904" s="8">
        <v>22</v>
      </c>
      <c r="C2904" s="8">
        <v>20</v>
      </c>
      <c r="D2904" s="8" t="s">
        <v>1</v>
      </c>
      <c r="E2904" s="9">
        <v>5</v>
      </c>
    </row>
    <row r="2905" spans="1:5" x14ac:dyDescent="0.3">
      <c r="A2905" s="10">
        <v>180</v>
      </c>
      <c r="B2905" s="10">
        <v>22</v>
      </c>
      <c r="C2905" s="10" t="s">
        <v>26</v>
      </c>
      <c r="D2905" s="10" t="s">
        <v>64</v>
      </c>
      <c r="E2905" s="15">
        <f>7.64-0.66-0.031-0.263-0.15-0.28-0.366-0.177-0.038-0.073-0.66-0.654-0.086-0.056-1.006-0.656-0.091-0.133-0.116-0.44-0.056-0.089-1.348+0.24-0.117-0.201-0.116</f>
        <v>1.699999999999828E-2</v>
      </c>
    </row>
    <row r="2906" spans="1:5" x14ac:dyDescent="0.3">
      <c r="A2906" s="8">
        <v>180</v>
      </c>
      <c r="B2906" s="8">
        <v>22</v>
      </c>
      <c r="C2906" s="8" t="s">
        <v>26</v>
      </c>
      <c r="D2906" s="8" t="s">
        <v>64</v>
      </c>
      <c r="E2906" s="9">
        <f>7.61-0.557+1.73-1.928-0.031-0.655-0.175-3.787-0.031-0.175-0.189-0.541</f>
        <v>1.2709999999999999</v>
      </c>
    </row>
    <row r="2907" spans="1:5" x14ac:dyDescent="0.3">
      <c r="A2907" s="8">
        <v>180</v>
      </c>
      <c r="B2907" s="8">
        <v>22</v>
      </c>
      <c r="C2907" s="8">
        <v>45</v>
      </c>
      <c r="D2907" s="8" t="s">
        <v>1</v>
      </c>
      <c r="E2907" s="9">
        <v>5</v>
      </c>
    </row>
    <row r="2908" spans="1:5" x14ac:dyDescent="0.3">
      <c r="A2908" s="10">
        <v>180</v>
      </c>
      <c r="B2908" s="10">
        <v>22</v>
      </c>
      <c r="C2908" s="10" t="s">
        <v>28</v>
      </c>
      <c r="D2908" s="10" t="s">
        <v>1</v>
      </c>
      <c r="E2908" s="15">
        <f>0.685+4.33-0.134-1.461</f>
        <v>3.42</v>
      </c>
    </row>
    <row r="2909" spans="1:5" x14ac:dyDescent="0.3">
      <c r="A2909" s="8">
        <v>180</v>
      </c>
      <c r="B2909" s="8">
        <v>22</v>
      </c>
      <c r="C2909" s="8" t="s">
        <v>30</v>
      </c>
      <c r="D2909" s="8" t="s">
        <v>1</v>
      </c>
      <c r="E2909" s="9">
        <v>5</v>
      </c>
    </row>
    <row r="2910" spans="1:5" x14ac:dyDescent="0.3">
      <c r="A2910" s="8">
        <v>180</v>
      </c>
      <c r="B2910" s="8">
        <v>25</v>
      </c>
      <c r="C2910" s="8">
        <v>20</v>
      </c>
      <c r="D2910" s="8" t="s">
        <v>1</v>
      </c>
      <c r="E2910" s="9">
        <v>5</v>
      </c>
    </row>
    <row r="2911" spans="1:5" x14ac:dyDescent="0.3">
      <c r="A2911" s="8">
        <v>180</v>
      </c>
      <c r="B2911" s="8">
        <v>25</v>
      </c>
      <c r="C2911" s="8" t="s">
        <v>26</v>
      </c>
      <c r="D2911" s="8" t="s">
        <v>64</v>
      </c>
      <c r="E2911" s="9">
        <f>7.66+0.99-0.595-0.323-0.092-0.104-0.586-0.585-0.213-0.097-0.116-0.097</f>
        <v>5.8419999999999987</v>
      </c>
    </row>
    <row r="2912" spans="1:5" x14ac:dyDescent="0.3">
      <c r="A2912" s="8">
        <v>180</v>
      </c>
      <c r="B2912" s="8">
        <v>25</v>
      </c>
      <c r="C2912" s="8" t="s">
        <v>26</v>
      </c>
      <c r="D2912" s="8" t="s">
        <v>64</v>
      </c>
      <c r="E2912" s="9">
        <f>10-7.66-0.99</f>
        <v>1.3499999999999999</v>
      </c>
    </row>
    <row r="2913" spans="1:5" x14ac:dyDescent="0.3">
      <c r="A2913" s="8">
        <v>180</v>
      </c>
      <c r="B2913" s="8">
        <v>25</v>
      </c>
      <c r="C2913" s="8">
        <v>35</v>
      </c>
      <c r="D2913" s="8" t="s">
        <v>1</v>
      </c>
      <c r="E2913" s="9">
        <v>5</v>
      </c>
    </row>
    <row r="2914" spans="1:5" x14ac:dyDescent="0.3">
      <c r="A2914" s="8">
        <v>180</v>
      </c>
      <c r="B2914" s="8">
        <v>25</v>
      </c>
      <c r="C2914" s="8">
        <v>45</v>
      </c>
      <c r="D2914" s="8" t="s">
        <v>1</v>
      </c>
      <c r="E2914" s="9">
        <v>5</v>
      </c>
    </row>
    <row r="2915" spans="1:5" x14ac:dyDescent="0.3">
      <c r="A2915" s="10">
        <v>180</v>
      </c>
      <c r="B2915" s="10">
        <v>25</v>
      </c>
      <c r="C2915" s="10" t="s">
        <v>28</v>
      </c>
      <c r="D2915" s="10" t="s">
        <v>1</v>
      </c>
      <c r="E2915" s="15">
        <f>2.445+2.43+0.8+2.425+2.41-0.292-0.85-0.1-1.66-0.294</f>
        <v>7.3140000000000009</v>
      </c>
    </row>
    <row r="2916" spans="1:5" x14ac:dyDescent="0.3">
      <c r="A2916" s="8">
        <v>180</v>
      </c>
      <c r="B2916" s="8">
        <v>25</v>
      </c>
      <c r="C2916" s="8" t="s">
        <v>41</v>
      </c>
      <c r="D2916" s="8" t="s">
        <v>1</v>
      </c>
      <c r="E2916" s="9">
        <f>5.458-2.746-0.202</f>
        <v>2.5100000000000002</v>
      </c>
    </row>
    <row r="2917" spans="1:5" x14ac:dyDescent="0.3">
      <c r="A2917" s="10">
        <v>180</v>
      </c>
      <c r="B2917" s="10">
        <v>25</v>
      </c>
      <c r="C2917" s="10" t="s">
        <v>30</v>
      </c>
      <c r="D2917" s="10" t="s">
        <v>1</v>
      </c>
      <c r="E2917" s="15">
        <f>1.66+1.625-0.267-0.101+2.42-0.468-0.102-1.709-0.849-0.294</f>
        <v>1.9149999999999996</v>
      </c>
    </row>
    <row r="2918" spans="1:5" x14ac:dyDescent="0.3">
      <c r="A2918" s="8">
        <v>180</v>
      </c>
      <c r="B2918" s="8">
        <v>26</v>
      </c>
      <c r="C2918" s="8" t="s">
        <v>26</v>
      </c>
      <c r="D2918" s="8" t="s">
        <v>64</v>
      </c>
      <c r="E2918" s="9">
        <f>15.45-2.36-0.105-0.544-0.404-1.573-0.105-0.08-0.337-0.204</f>
        <v>9.7379999999999978</v>
      </c>
    </row>
    <row r="2919" spans="1:5" x14ac:dyDescent="0.3">
      <c r="A2919" s="8">
        <v>180</v>
      </c>
      <c r="B2919" s="8">
        <v>28</v>
      </c>
      <c r="C2919" s="8">
        <v>20</v>
      </c>
      <c r="D2919" s="8" t="s">
        <v>1</v>
      </c>
      <c r="E2919" s="9">
        <v>5</v>
      </c>
    </row>
    <row r="2920" spans="1:5" x14ac:dyDescent="0.3">
      <c r="A2920" s="10">
        <v>180</v>
      </c>
      <c r="B2920" s="10">
        <v>28</v>
      </c>
      <c r="C2920" s="10" t="s">
        <v>26</v>
      </c>
      <c r="D2920" s="10" t="s">
        <v>64</v>
      </c>
      <c r="E2920" s="15">
        <f>9.64-0.426-0.096-0.027-1.66-0.062-4.853-2.433+0.086</f>
        <v>0.16900000000000107</v>
      </c>
    </row>
    <row r="2921" spans="1:5" x14ac:dyDescent="0.3">
      <c r="A2921" s="10">
        <v>180</v>
      </c>
      <c r="B2921" s="10">
        <v>28</v>
      </c>
      <c r="C2921" s="10" t="s">
        <v>26</v>
      </c>
      <c r="D2921" s="10" t="s">
        <v>64</v>
      </c>
      <c r="E2921" s="15">
        <f>1.66+4.853+2.433-0.838-0.838</f>
        <v>7.2700000000000005</v>
      </c>
    </row>
    <row r="2922" spans="1:5" x14ac:dyDescent="0.3">
      <c r="A2922" s="8">
        <v>180</v>
      </c>
      <c r="B2922" s="8">
        <v>28</v>
      </c>
      <c r="C2922" s="8">
        <v>35</v>
      </c>
      <c r="D2922" s="8" t="s">
        <v>1</v>
      </c>
      <c r="E2922" s="9">
        <v>5</v>
      </c>
    </row>
    <row r="2923" spans="1:5" x14ac:dyDescent="0.3">
      <c r="A2923" s="10">
        <v>180</v>
      </c>
      <c r="B2923" s="10">
        <v>28</v>
      </c>
      <c r="C2923" s="10">
        <v>45</v>
      </c>
      <c r="D2923" s="10" t="s">
        <v>1</v>
      </c>
      <c r="E2923" s="15">
        <v>5.2480000000000002</v>
      </c>
    </row>
    <row r="2924" spans="1:5" x14ac:dyDescent="0.3">
      <c r="A2924" s="8">
        <v>180</v>
      </c>
      <c r="B2924" s="8">
        <v>28</v>
      </c>
      <c r="C2924" s="8">
        <v>45</v>
      </c>
      <c r="D2924" s="8" t="s">
        <v>1</v>
      </c>
      <c r="E2924" s="9">
        <v>5</v>
      </c>
    </row>
    <row r="2925" spans="1:5" x14ac:dyDescent="0.3">
      <c r="A2925" s="10">
        <v>180</v>
      </c>
      <c r="B2925" s="10">
        <v>28</v>
      </c>
      <c r="C2925" s="10" t="s">
        <v>28</v>
      </c>
      <c r="D2925" s="10" t="s">
        <v>1</v>
      </c>
      <c r="E2925" s="15">
        <f>2.74+2.7-0.933-2.781+3.058-0.114-0.731-0.913</f>
        <v>3.0260000000000007</v>
      </c>
    </row>
    <row r="2926" spans="1:5" x14ac:dyDescent="0.3">
      <c r="A2926" s="10">
        <v>180</v>
      </c>
      <c r="B2926" s="10">
        <v>28</v>
      </c>
      <c r="C2926" s="10" t="s">
        <v>30</v>
      </c>
      <c r="D2926" s="10" t="s">
        <v>1</v>
      </c>
      <c r="E2926" s="15">
        <f>2.845+2.83-0.215-0.112-0.666-0.116-0.228-0.226</f>
        <v>4.112000000000001</v>
      </c>
    </row>
    <row r="2927" spans="1:5" x14ac:dyDescent="0.3">
      <c r="A2927" s="8">
        <v>180</v>
      </c>
      <c r="B2927" s="8">
        <v>30</v>
      </c>
      <c r="C2927" s="8">
        <v>20</v>
      </c>
      <c r="D2927" s="8" t="s">
        <v>1</v>
      </c>
      <c r="E2927" s="9">
        <v>5</v>
      </c>
    </row>
    <row r="2928" spans="1:5" x14ac:dyDescent="0.3">
      <c r="A2928" s="10">
        <v>180</v>
      </c>
      <c r="B2928" s="10">
        <v>30</v>
      </c>
      <c r="C2928" s="10" t="s">
        <v>26</v>
      </c>
      <c r="D2928" s="10" t="s">
        <v>64</v>
      </c>
      <c r="E2928" s="15">
        <f>6.44+11.99-0.063-0.106-9.4-0.042-0.641-0.338-4.593-1.873-0.175</f>
        <v>1.198999999999999</v>
      </c>
    </row>
    <row r="2929" spans="1:5" x14ac:dyDescent="0.3">
      <c r="A2929" s="8">
        <v>180</v>
      </c>
      <c r="B2929" s="8">
        <v>30</v>
      </c>
      <c r="C2929" s="8">
        <v>45</v>
      </c>
      <c r="D2929" s="8" t="s">
        <v>1</v>
      </c>
      <c r="E2929" s="9">
        <v>5</v>
      </c>
    </row>
    <row r="2930" spans="1:5" x14ac:dyDescent="0.3">
      <c r="A2930" s="10">
        <v>180</v>
      </c>
      <c r="B2930" s="10">
        <v>30</v>
      </c>
      <c r="C2930" s="10" t="s">
        <v>36</v>
      </c>
      <c r="D2930" s="10" t="s">
        <v>1</v>
      </c>
      <c r="E2930" s="15">
        <f>7.5-0.248-0.089-1.693-0.182-0.11-0.116-0.451-4.17+0.253</f>
        <v>0.69399999999999895</v>
      </c>
    </row>
    <row r="2931" spans="1:5" x14ac:dyDescent="0.3">
      <c r="A2931" s="10">
        <v>180</v>
      </c>
      <c r="B2931" s="10">
        <v>30</v>
      </c>
      <c r="C2931" s="10" t="s">
        <v>36</v>
      </c>
      <c r="D2931" s="10" t="s">
        <v>1</v>
      </c>
      <c r="E2931" s="15">
        <v>4.17</v>
      </c>
    </row>
    <row r="2932" spans="1:5" x14ac:dyDescent="0.3">
      <c r="A2932" s="10">
        <v>180</v>
      </c>
      <c r="B2932" s="10">
        <v>30</v>
      </c>
      <c r="C2932" s="10" t="s">
        <v>28</v>
      </c>
      <c r="D2932" s="10" t="s">
        <v>1</v>
      </c>
      <c r="E2932" s="15">
        <f>2.01+1.995-0.117-0.061-0.061-0.115</f>
        <v>3.6509999999999998</v>
      </c>
    </row>
    <row r="2933" spans="1:5" x14ac:dyDescent="0.3">
      <c r="A2933" s="8">
        <v>180</v>
      </c>
      <c r="B2933" s="8">
        <v>30</v>
      </c>
      <c r="C2933" s="8" t="s">
        <v>28</v>
      </c>
      <c r="D2933" s="8" t="s">
        <v>1</v>
      </c>
      <c r="E2933" s="15">
        <f>5-2.01-1.995</f>
        <v>0.99500000000000011</v>
      </c>
    </row>
    <row r="2934" spans="1:5" x14ac:dyDescent="0.3">
      <c r="A2934" s="10">
        <v>180</v>
      </c>
      <c r="B2934" s="10">
        <v>30</v>
      </c>
      <c r="C2934" s="10" t="s">
        <v>30</v>
      </c>
      <c r="D2934" s="10" t="s">
        <v>1</v>
      </c>
      <c r="E2934" s="15">
        <f>8.412-3.157-0.226-0.216-0.116-3.065-1.052+3.25+1.5-0.077-3.346-0.414-0.078-0.077-0.033-0.094-0.094-0.116-0.056</f>
        <v>0.94500000000000073</v>
      </c>
    </row>
    <row r="2935" spans="1:5" x14ac:dyDescent="0.3">
      <c r="A2935" s="10">
        <v>180</v>
      </c>
      <c r="B2935" s="10">
        <v>30</v>
      </c>
      <c r="C2935" s="10" t="s">
        <v>30</v>
      </c>
      <c r="D2935" s="10" t="s">
        <v>1</v>
      </c>
      <c r="E2935" s="15">
        <f>5.66-1.897+4.935-0.106-1.885</f>
        <v>6.7070000000000007</v>
      </c>
    </row>
    <row r="2936" spans="1:5" x14ac:dyDescent="0.3">
      <c r="A2936" s="8">
        <v>180</v>
      </c>
      <c r="B2936" s="8">
        <v>32</v>
      </c>
      <c r="C2936" s="8">
        <v>20</v>
      </c>
      <c r="D2936" s="8" t="s">
        <v>1</v>
      </c>
      <c r="E2936" s="9">
        <v>5</v>
      </c>
    </row>
    <row r="2937" spans="1:5" x14ac:dyDescent="0.3">
      <c r="A2937" s="10">
        <v>180</v>
      </c>
      <c r="B2937" s="10">
        <v>32</v>
      </c>
      <c r="C2937" s="10" t="s">
        <v>26</v>
      </c>
      <c r="D2937" s="10" t="s">
        <v>64</v>
      </c>
      <c r="E2937" s="15">
        <f>4.955-0.818-0.076-0.183-0.856-0.832</f>
        <v>2.1900000000000013</v>
      </c>
    </row>
    <row r="2938" spans="1:5" x14ac:dyDescent="0.3">
      <c r="A2938" s="8">
        <v>180</v>
      </c>
      <c r="B2938" s="8">
        <v>32</v>
      </c>
      <c r="C2938" s="8">
        <v>35</v>
      </c>
      <c r="D2938" s="8" t="s">
        <v>1</v>
      </c>
      <c r="E2938" s="9">
        <v>5</v>
      </c>
    </row>
    <row r="2939" spans="1:5" x14ac:dyDescent="0.3">
      <c r="A2939" s="8">
        <v>180</v>
      </c>
      <c r="B2939" s="8">
        <v>32</v>
      </c>
      <c r="C2939" s="8">
        <v>45</v>
      </c>
      <c r="D2939" s="8" t="s">
        <v>1</v>
      </c>
      <c r="E2939" s="9">
        <v>5</v>
      </c>
    </row>
    <row r="2940" spans="1:5" x14ac:dyDescent="0.3">
      <c r="A2940" s="10">
        <v>180</v>
      </c>
      <c r="B2940" s="10">
        <v>32</v>
      </c>
      <c r="C2940" s="10" t="s">
        <v>28</v>
      </c>
      <c r="D2940" s="10" t="s">
        <v>1</v>
      </c>
      <c r="E2940" s="15">
        <f>5.06+1.015-0.064-0.967-1.064-1.025-0.181-0.079+1.055-0.433+2.08-0.3-0.182-0.846-1.096-1.027</f>
        <v>1.9459999999999991</v>
      </c>
    </row>
    <row r="2941" spans="1:5" x14ac:dyDescent="0.3">
      <c r="A2941" s="10">
        <v>180</v>
      </c>
      <c r="B2941" s="10">
        <v>32</v>
      </c>
      <c r="C2941" s="10" t="s">
        <v>28</v>
      </c>
      <c r="D2941" s="10" t="s">
        <v>1</v>
      </c>
      <c r="E2941" s="15">
        <f>3.005-0.976-1.056-0.512</f>
        <v>0.46099999999999985</v>
      </c>
    </row>
    <row r="2942" spans="1:5" x14ac:dyDescent="0.3">
      <c r="A2942" s="10">
        <v>180</v>
      </c>
      <c r="B2942" s="10">
        <v>32</v>
      </c>
      <c r="C2942" s="10" t="s">
        <v>30</v>
      </c>
      <c r="D2942" s="10" t="s">
        <v>1</v>
      </c>
      <c r="E2942" s="15">
        <f>5.165-0.365-0.084</f>
        <v>4.7160000000000002</v>
      </c>
    </row>
    <row r="2943" spans="1:5" x14ac:dyDescent="0.3">
      <c r="A2943" s="8">
        <v>180</v>
      </c>
      <c r="B2943" s="8">
        <v>32</v>
      </c>
      <c r="C2943" s="8" t="s">
        <v>106</v>
      </c>
      <c r="D2943" s="8" t="s">
        <v>1</v>
      </c>
      <c r="E2943" s="9">
        <v>4.9000000000000004</v>
      </c>
    </row>
    <row r="2944" spans="1:5" x14ac:dyDescent="0.3">
      <c r="A2944" s="10">
        <v>180</v>
      </c>
      <c r="B2944" s="10">
        <v>34</v>
      </c>
      <c r="C2944" s="10" t="s">
        <v>28</v>
      </c>
      <c r="D2944" s="10" t="s">
        <v>1</v>
      </c>
      <c r="E2944" s="15">
        <f>2.22+2.15-0.07-1.151</f>
        <v>3.149</v>
      </c>
    </row>
    <row r="2945" spans="1:5" x14ac:dyDescent="0.3">
      <c r="A2945" s="10">
        <v>180</v>
      </c>
      <c r="B2945" s="10">
        <v>35</v>
      </c>
      <c r="C2945" s="10" t="s">
        <v>30</v>
      </c>
      <c r="D2945" s="10" t="s">
        <v>1</v>
      </c>
      <c r="E2945" s="15">
        <f>2.79+7.28+5.535</f>
        <v>15.605</v>
      </c>
    </row>
    <row r="2946" spans="1:5" x14ac:dyDescent="0.3">
      <c r="A2946" s="10">
        <v>180</v>
      </c>
      <c r="B2946" s="10">
        <v>36</v>
      </c>
      <c r="C2946" s="10">
        <v>20</v>
      </c>
      <c r="D2946" s="10" t="s">
        <v>1</v>
      </c>
      <c r="E2946" s="15">
        <f>2.256-0.263</f>
        <v>1.9929999999999999</v>
      </c>
    </row>
    <row r="2947" spans="1:5" x14ac:dyDescent="0.3">
      <c r="A2947" s="8">
        <v>180</v>
      </c>
      <c r="B2947" s="8">
        <v>36</v>
      </c>
      <c r="C2947" s="8">
        <v>20</v>
      </c>
      <c r="D2947" s="8" t="s">
        <v>1</v>
      </c>
      <c r="E2947" s="9">
        <v>5</v>
      </c>
    </row>
    <row r="2948" spans="1:5" x14ac:dyDescent="0.3">
      <c r="A2948" s="8">
        <v>180</v>
      </c>
      <c r="B2948" s="8">
        <v>36</v>
      </c>
      <c r="C2948" s="8" t="s">
        <v>26</v>
      </c>
      <c r="D2948" s="8" t="s">
        <v>64</v>
      </c>
      <c r="E2948" s="9">
        <f>7.82-0.039</f>
        <v>7.7810000000000006</v>
      </c>
    </row>
    <row r="2949" spans="1:5" x14ac:dyDescent="0.3">
      <c r="A2949" s="8">
        <v>180</v>
      </c>
      <c r="B2949" s="8">
        <v>36</v>
      </c>
      <c r="C2949" s="8">
        <v>35</v>
      </c>
      <c r="D2949" s="8" t="s">
        <v>1</v>
      </c>
      <c r="E2949" s="9">
        <v>5</v>
      </c>
    </row>
    <row r="2950" spans="1:5" x14ac:dyDescent="0.3">
      <c r="A2950" s="8">
        <v>180</v>
      </c>
      <c r="B2950" s="8">
        <v>36</v>
      </c>
      <c r="C2950" s="8">
        <v>45</v>
      </c>
      <c r="D2950" s="8" t="s">
        <v>1</v>
      </c>
      <c r="E2950" s="9">
        <v>5</v>
      </c>
    </row>
    <row r="2951" spans="1:5" x14ac:dyDescent="0.3">
      <c r="A2951" s="10">
        <v>180</v>
      </c>
      <c r="B2951" s="10">
        <v>36</v>
      </c>
      <c r="C2951" s="10" t="s">
        <v>36</v>
      </c>
      <c r="D2951" s="10" t="s">
        <v>1</v>
      </c>
      <c r="E2951" s="15">
        <f>2.175+3.15+2.17-1.138</f>
        <v>6.3569999999999993</v>
      </c>
    </row>
    <row r="2952" spans="1:5" x14ac:dyDescent="0.3">
      <c r="A2952" s="10">
        <v>180</v>
      </c>
      <c r="B2952" s="10">
        <v>36</v>
      </c>
      <c r="C2952" s="10" t="s">
        <v>36</v>
      </c>
      <c r="D2952" s="10" t="s">
        <v>1</v>
      </c>
      <c r="E2952" s="15">
        <f>10-2.175-3.15-2.17</f>
        <v>2.5050000000000008</v>
      </c>
    </row>
    <row r="2953" spans="1:5" x14ac:dyDescent="0.3">
      <c r="A2953" s="10">
        <v>180</v>
      </c>
      <c r="B2953" s="10">
        <v>36</v>
      </c>
      <c r="C2953" s="10" t="s">
        <v>28</v>
      </c>
      <c r="D2953" s="10" t="s">
        <v>1</v>
      </c>
      <c r="E2953" s="15">
        <f>2.185+2.175+3.27-0.111-1.117</f>
        <v>6.4019999999999992</v>
      </c>
    </row>
    <row r="2954" spans="1:5" x14ac:dyDescent="0.3">
      <c r="A2954" s="10">
        <v>180</v>
      </c>
      <c r="B2954" s="10">
        <v>36</v>
      </c>
      <c r="C2954" s="10" t="s">
        <v>30</v>
      </c>
      <c r="D2954" s="10" t="s">
        <v>1</v>
      </c>
      <c r="E2954" s="15">
        <f>6.357-0.762-1.832-0.318-0.681+4.35+3.265+2.17-0.807-1.16-1.12-0.802-0.275-0.14-0.52-0.071-1.117-0.585-1.127-1.644-0.29-2.251</f>
        <v>0.64000000000000012</v>
      </c>
    </row>
    <row r="2955" spans="1:5" x14ac:dyDescent="0.3">
      <c r="A2955" s="10">
        <v>180</v>
      </c>
      <c r="B2955" s="10">
        <v>36</v>
      </c>
      <c r="C2955" s="10" t="s">
        <v>30</v>
      </c>
      <c r="D2955" s="10" t="s">
        <v>1</v>
      </c>
      <c r="E2955" s="15">
        <v>1.127</v>
      </c>
    </row>
    <row r="2956" spans="1:5" x14ac:dyDescent="0.3">
      <c r="A2956" s="8">
        <v>180</v>
      </c>
      <c r="B2956" s="8">
        <v>40</v>
      </c>
      <c r="C2956" s="8">
        <v>20</v>
      </c>
      <c r="D2956" s="8" t="s">
        <v>1</v>
      </c>
      <c r="E2956" s="9">
        <v>7</v>
      </c>
    </row>
    <row r="2957" spans="1:5" x14ac:dyDescent="0.3">
      <c r="A2957" s="10">
        <v>180</v>
      </c>
      <c r="B2957" s="10">
        <v>40</v>
      </c>
      <c r="C2957" s="10" t="s">
        <v>26</v>
      </c>
      <c r="D2957" s="10" t="s">
        <v>64</v>
      </c>
      <c r="E2957" s="15">
        <v>9.6</v>
      </c>
    </row>
    <row r="2958" spans="1:5" x14ac:dyDescent="0.3">
      <c r="A2958" s="8">
        <v>180</v>
      </c>
      <c r="B2958" s="8">
        <v>40</v>
      </c>
      <c r="C2958" s="8">
        <v>35</v>
      </c>
      <c r="D2958" s="8" t="s">
        <v>1</v>
      </c>
      <c r="E2958" s="9">
        <v>5</v>
      </c>
    </row>
    <row r="2959" spans="1:5" x14ac:dyDescent="0.3">
      <c r="A2959" s="8">
        <v>180</v>
      </c>
      <c r="B2959" s="8">
        <v>40</v>
      </c>
      <c r="C2959" s="8">
        <v>45</v>
      </c>
      <c r="D2959" s="8" t="s">
        <v>1</v>
      </c>
      <c r="E2959" s="9">
        <v>5</v>
      </c>
    </row>
    <row r="2960" spans="1:5" x14ac:dyDescent="0.3">
      <c r="A2960" s="10">
        <v>180</v>
      </c>
      <c r="B2960" s="10">
        <v>40</v>
      </c>
      <c r="C2960" s="10" t="s">
        <v>28</v>
      </c>
      <c r="D2960" s="10" t="s">
        <v>1</v>
      </c>
      <c r="E2960" s="15">
        <f>0.983+5.249-4.585-0.664-0.149</f>
        <v>0.8339999999999993</v>
      </c>
    </row>
    <row r="2961" spans="1:5" x14ac:dyDescent="0.3">
      <c r="A2961" s="10">
        <v>180</v>
      </c>
      <c r="B2961" s="10">
        <v>40</v>
      </c>
      <c r="C2961" s="10" t="s">
        <v>28</v>
      </c>
      <c r="D2961" s="10" t="s">
        <v>1</v>
      </c>
      <c r="E2961" s="15">
        <f>2.335+2.4+2.165+2.105+0.985</f>
        <v>9.9899999999999984</v>
      </c>
    </row>
    <row r="2962" spans="1:5" x14ac:dyDescent="0.3">
      <c r="A2962" s="10">
        <v>180</v>
      </c>
      <c r="B2962" s="10">
        <v>40</v>
      </c>
      <c r="C2962" s="10" t="s">
        <v>30</v>
      </c>
      <c r="D2962" s="10" t="s">
        <v>1</v>
      </c>
      <c r="E2962" s="15">
        <f>4.58-0.866-0.216+1.035-1.057-0.937-0.146-0.146</f>
        <v>2.2469999999999999</v>
      </c>
    </row>
    <row r="2963" spans="1:5" x14ac:dyDescent="0.3">
      <c r="A2963" s="10">
        <v>180</v>
      </c>
      <c r="B2963" s="10">
        <v>40</v>
      </c>
      <c r="C2963" s="10" t="s">
        <v>30</v>
      </c>
      <c r="D2963" s="10" t="s">
        <v>1</v>
      </c>
      <c r="E2963" s="15">
        <f>2.155+2.14+1.13</f>
        <v>5.4249999999999998</v>
      </c>
    </row>
    <row r="2964" spans="1:5" x14ac:dyDescent="0.3">
      <c r="A2964" s="8">
        <v>180</v>
      </c>
      <c r="B2964" s="8">
        <v>45</v>
      </c>
      <c r="C2964" s="8">
        <v>20</v>
      </c>
      <c r="D2964" s="8" t="s">
        <v>1</v>
      </c>
      <c r="E2964" s="9">
        <v>5</v>
      </c>
    </row>
    <row r="2965" spans="1:5" x14ac:dyDescent="0.3">
      <c r="A2965" s="8">
        <v>180</v>
      </c>
      <c r="B2965" s="8">
        <v>45</v>
      </c>
      <c r="C2965" s="8">
        <v>35</v>
      </c>
      <c r="D2965" s="8" t="s">
        <v>1</v>
      </c>
      <c r="E2965" s="9">
        <v>5</v>
      </c>
    </row>
    <row r="2966" spans="1:5" x14ac:dyDescent="0.3">
      <c r="A2966" s="10">
        <v>180</v>
      </c>
      <c r="B2966" s="10">
        <v>45</v>
      </c>
      <c r="C2966" s="10">
        <v>45</v>
      </c>
      <c r="D2966" s="10" t="s">
        <v>1</v>
      </c>
      <c r="E2966" s="15">
        <f>4.974-0.263-0.157-0.754-0.398-0.164-0.428-0.266-0.337-0.936-0.457-0.17+0.048-0.654</f>
        <v>3.7999999999999812E-2</v>
      </c>
    </row>
    <row r="2967" spans="1:5" x14ac:dyDescent="0.3">
      <c r="A2967" s="10">
        <v>180</v>
      </c>
      <c r="B2967" s="10">
        <v>45</v>
      </c>
      <c r="C2967" s="10">
        <v>45</v>
      </c>
      <c r="D2967" s="10" t="s">
        <v>1</v>
      </c>
      <c r="E2967" s="15">
        <f>4.07-1.019-0.29-0.233</f>
        <v>2.528</v>
      </c>
    </row>
    <row r="2968" spans="1:5" x14ac:dyDescent="0.3">
      <c r="A2968" s="10">
        <v>180</v>
      </c>
      <c r="B2968" s="10">
        <v>45</v>
      </c>
      <c r="C2968" s="10">
        <v>45</v>
      </c>
      <c r="D2968" s="10" t="s">
        <v>1</v>
      </c>
      <c r="E2968" s="15">
        <f>5-4.07</f>
        <v>0.92999999999999972</v>
      </c>
    </row>
    <row r="2969" spans="1:5" x14ac:dyDescent="0.3">
      <c r="A2969" s="10">
        <v>180</v>
      </c>
      <c r="B2969" s="10">
        <v>45</v>
      </c>
      <c r="C2969" s="10" t="s">
        <v>28</v>
      </c>
      <c r="D2969" s="10" t="s">
        <v>1</v>
      </c>
      <c r="E2969" s="15">
        <f>1.06+4.25-1.092-0.234+0.07-2.175-1.941+0.132</f>
        <v>7.0000000000000395E-2</v>
      </c>
    </row>
    <row r="2970" spans="1:5" x14ac:dyDescent="0.3">
      <c r="A2970" s="10">
        <v>180</v>
      </c>
      <c r="B2970" s="10">
        <v>45</v>
      </c>
      <c r="C2970" s="10" t="s">
        <v>28</v>
      </c>
      <c r="D2970" s="10" t="s">
        <v>1</v>
      </c>
      <c r="E2970" s="15">
        <f>7.36-2.013-0.157-0.157-4.436</f>
        <v>0.59700000000000042</v>
      </c>
    </row>
    <row r="2971" spans="1:5" x14ac:dyDescent="0.3">
      <c r="A2971" s="10">
        <v>180</v>
      </c>
      <c r="B2971" s="10">
        <v>45</v>
      </c>
      <c r="C2971" s="10" t="s">
        <v>28</v>
      </c>
      <c r="D2971" s="10" t="s">
        <v>1</v>
      </c>
      <c r="E2971" s="15">
        <v>4.4359999999999999</v>
      </c>
    </row>
    <row r="2972" spans="1:5" x14ac:dyDescent="0.3">
      <c r="A2972" s="10">
        <v>180</v>
      </c>
      <c r="B2972" s="10">
        <v>45</v>
      </c>
      <c r="C2972" s="10" t="s">
        <v>30</v>
      </c>
      <c r="D2972" s="10" t="s">
        <v>1</v>
      </c>
      <c r="E2972" s="15">
        <f>4.135-0.293+1.5-0.217-0.442-0.119-0.556-0.08-0.474-1.857-0.239-0.386-0.307-0.068</f>
        <v>0.59699999999999953</v>
      </c>
    </row>
    <row r="2973" spans="1:5" x14ac:dyDescent="0.3">
      <c r="A2973" s="10">
        <v>180</v>
      </c>
      <c r="B2973" s="10">
        <v>45</v>
      </c>
      <c r="C2973" s="10" t="s">
        <v>30</v>
      </c>
      <c r="D2973" s="10" t="s">
        <v>1</v>
      </c>
      <c r="E2973" s="15">
        <f>7.57-2.203</f>
        <v>5.3670000000000009</v>
      </c>
    </row>
    <row r="2974" spans="1:5" x14ac:dyDescent="0.3">
      <c r="A2974" s="8">
        <v>180</v>
      </c>
      <c r="B2974" s="8">
        <v>45</v>
      </c>
      <c r="C2974" s="8" t="s">
        <v>106</v>
      </c>
      <c r="D2974" s="8" t="s">
        <v>1</v>
      </c>
      <c r="E2974" s="9">
        <v>4.915</v>
      </c>
    </row>
    <row r="2975" spans="1:5" x14ac:dyDescent="0.3">
      <c r="A2975" s="8">
        <v>180</v>
      </c>
      <c r="B2975" s="8">
        <v>48</v>
      </c>
      <c r="C2975" s="8">
        <v>20</v>
      </c>
      <c r="D2975" s="8" t="s">
        <v>1</v>
      </c>
      <c r="E2975" s="9">
        <v>5</v>
      </c>
    </row>
    <row r="2976" spans="1:5" x14ac:dyDescent="0.3">
      <c r="A2976" s="8">
        <v>180</v>
      </c>
      <c r="B2976" s="8">
        <v>50</v>
      </c>
      <c r="C2976" s="8">
        <v>20</v>
      </c>
      <c r="D2976" s="8" t="s">
        <v>1</v>
      </c>
      <c r="E2976" s="9">
        <v>5</v>
      </c>
    </row>
    <row r="2977" spans="1:5" x14ac:dyDescent="0.3">
      <c r="A2977" s="8">
        <v>180</v>
      </c>
      <c r="B2977" s="8">
        <v>50</v>
      </c>
      <c r="C2977" s="8">
        <v>45</v>
      </c>
      <c r="D2977" s="8" t="s">
        <v>1</v>
      </c>
      <c r="E2977" s="9">
        <v>5</v>
      </c>
    </row>
    <row r="2978" spans="1:5" x14ac:dyDescent="0.3">
      <c r="A2978" s="10">
        <v>180</v>
      </c>
      <c r="B2978" s="10">
        <v>50</v>
      </c>
      <c r="C2978" s="10" t="s">
        <v>28</v>
      </c>
      <c r="D2978" s="10" t="s">
        <v>1</v>
      </c>
      <c r="E2978" s="15">
        <f>5.135-0.049-0.332</f>
        <v>4.7539999999999996</v>
      </c>
    </row>
    <row r="2979" spans="1:5" x14ac:dyDescent="0.3">
      <c r="A2979" s="8">
        <v>180</v>
      </c>
      <c r="B2979" s="8">
        <v>50</v>
      </c>
      <c r="C2979" s="8" t="s">
        <v>30</v>
      </c>
      <c r="D2979" s="8" t="s">
        <v>1</v>
      </c>
      <c r="E2979" s="9">
        <v>5</v>
      </c>
    </row>
    <row r="2980" spans="1:5" x14ac:dyDescent="0.3">
      <c r="A2980" s="10">
        <v>185</v>
      </c>
      <c r="B2980" s="10">
        <v>30</v>
      </c>
      <c r="C2980" s="10" t="s">
        <v>30</v>
      </c>
      <c r="D2980" s="10" t="s">
        <v>1</v>
      </c>
      <c r="E2980" s="15">
        <v>5</v>
      </c>
    </row>
    <row r="2981" spans="1:5" x14ac:dyDescent="0.3">
      <c r="A2981" s="10">
        <v>185</v>
      </c>
      <c r="B2981" s="10">
        <v>45</v>
      </c>
      <c r="C2981" s="10" t="s">
        <v>106</v>
      </c>
      <c r="D2981" s="10" t="s">
        <v>1</v>
      </c>
      <c r="E2981" s="15">
        <f>2.215+4.345-0.164-0.328-2.8+0.614</f>
        <v>3.8819999999999997</v>
      </c>
    </row>
    <row r="2982" spans="1:5" x14ac:dyDescent="0.3">
      <c r="A2982" s="10">
        <v>185</v>
      </c>
      <c r="B2982" s="10">
        <v>45</v>
      </c>
      <c r="C2982" s="10" t="s">
        <v>106</v>
      </c>
      <c r="D2982" s="10" t="s">
        <v>1</v>
      </c>
      <c r="E2982" s="15">
        <v>1.2250000000000001</v>
      </c>
    </row>
    <row r="2983" spans="1:5" x14ac:dyDescent="0.3">
      <c r="A2983" s="8">
        <v>194</v>
      </c>
      <c r="B2983" s="8">
        <v>6</v>
      </c>
      <c r="C2983" s="8">
        <v>20</v>
      </c>
      <c r="D2983" s="8" t="s">
        <v>1</v>
      </c>
      <c r="E2983" s="9">
        <v>5</v>
      </c>
    </row>
    <row r="2984" spans="1:5" x14ac:dyDescent="0.3">
      <c r="A2984" s="10">
        <v>194</v>
      </c>
      <c r="B2984" s="10">
        <v>8</v>
      </c>
      <c r="C2984" s="10">
        <v>20</v>
      </c>
      <c r="D2984" s="10" t="s">
        <v>1</v>
      </c>
      <c r="E2984" s="15">
        <f>0.345+0.089-0.058+0.62+3.644-0.056-0.031-0.062-0.044-0.042-0.11-0.086-0.039-0.084-0.071-0.042-0.096-0.085-0.051-0.059-0.053-0.087-0.116-0.045-0.022-0.087-0.016-0.081-0.009-0.231-0.085-0.031-0.052-0.005-0.076-0.013-0.008-0.014</f>
        <v>2.6510000000000016</v>
      </c>
    </row>
    <row r="2985" spans="1:5" x14ac:dyDescent="0.3">
      <c r="A2985" s="10">
        <v>194</v>
      </c>
      <c r="B2985" s="10">
        <v>8</v>
      </c>
      <c r="C2985" s="10" t="s">
        <v>26</v>
      </c>
      <c r="D2985" s="10" t="s">
        <v>64</v>
      </c>
      <c r="E2985" s="15">
        <f>5.09-0.313-2.794-0.04-0.024-1.064-0.368-0.111-0.373+0.169-0.04+0.424-0.021+4.08-0.113-0.021-0.05-1.495+3.58-0.027-0.04-0.04-0.008-0.053-0.027-0.008-0.336-0.04-0.156-0.127-0.916-0.402</f>
        <v>4.3359999999999994</v>
      </c>
    </row>
    <row r="2986" spans="1:5" x14ac:dyDescent="0.3">
      <c r="A2986" s="10">
        <v>194</v>
      </c>
      <c r="B2986" s="10">
        <v>10</v>
      </c>
      <c r="C2986" s="10">
        <v>20</v>
      </c>
      <c r="D2986" s="10" t="s">
        <v>1</v>
      </c>
      <c r="E2986" s="15">
        <f>0.465-0.117-0.135-0.01-0.091</f>
        <v>0.11200000000000002</v>
      </c>
    </row>
    <row r="2987" spans="1:5" x14ac:dyDescent="0.3">
      <c r="A2987" s="13">
        <v>194</v>
      </c>
      <c r="B2987" s="13">
        <v>10</v>
      </c>
      <c r="C2987" s="13">
        <v>20</v>
      </c>
      <c r="D2987" s="13" t="s">
        <v>8</v>
      </c>
      <c r="E2987" s="16">
        <f>1.47+0.037-0.037+1.482-0.054+0.215-0.026-0.049-0.021-0.936-0.045-0.143-0.054-0.037</f>
        <v>1.8020000000000005</v>
      </c>
    </row>
    <row r="2988" spans="1:5" x14ac:dyDescent="0.3">
      <c r="A2988" s="8">
        <v>194</v>
      </c>
      <c r="B2988" s="8">
        <v>10</v>
      </c>
      <c r="C2988" s="8" t="s">
        <v>26</v>
      </c>
      <c r="D2988" s="8" t="s">
        <v>64</v>
      </c>
      <c r="E2988" s="9">
        <f>7.38-0.048-0.072-0.428-0.071-0.281-0.1-0.057-0.049-0.198-0.141-0.095-0.104-0.035-0.031-0.04-0.032-0.095-0.056-0.026-0.026-0.883-0.021-0.28-0.143-0.023</f>
        <v>4.0450000000000008</v>
      </c>
    </row>
    <row r="2989" spans="1:5" x14ac:dyDescent="0.3">
      <c r="A2989" s="10">
        <v>194</v>
      </c>
      <c r="B2989" s="10">
        <v>10</v>
      </c>
      <c r="C2989" s="10" t="s">
        <v>37</v>
      </c>
      <c r="D2989" s="10" t="s">
        <v>150</v>
      </c>
      <c r="E2989" s="15">
        <f>1.205-0.965</f>
        <v>0.2400000000000001</v>
      </c>
    </row>
    <row r="2990" spans="1:5" x14ac:dyDescent="0.3">
      <c r="A2990" s="8">
        <v>194</v>
      </c>
      <c r="B2990" s="8">
        <v>10</v>
      </c>
      <c r="C2990" s="8" t="s">
        <v>30</v>
      </c>
      <c r="D2990" s="8" t="s">
        <v>1</v>
      </c>
      <c r="E2990" s="9">
        <v>5</v>
      </c>
    </row>
    <row r="2991" spans="1:5" x14ac:dyDescent="0.3">
      <c r="A2991" s="8">
        <v>194</v>
      </c>
      <c r="B2991" s="8">
        <v>12</v>
      </c>
      <c r="C2991" s="8">
        <v>20</v>
      </c>
      <c r="D2991" s="8" t="s">
        <v>1</v>
      </c>
      <c r="E2991" s="9">
        <v>5</v>
      </c>
    </row>
    <row r="2992" spans="1:5" x14ac:dyDescent="0.3">
      <c r="A2992" s="10">
        <v>194</v>
      </c>
      <c r="B2992" s="10">
        <v>12</v>
      </c>
      <c r="C2992" s="10" t="s">
        <v>26</v>
      </c>
      <c r="D2992" s="10" t="s">
        <v>1</v>
      </c>
      <c r="E2992" s="15">
        <f>2.94-0.059-0.215-0.114-0.441-0.078-0.435-0.114-0.047-0.033-0.008-0.179</f>
        <v>1.2170000000000003</v>
      </c>
    </row>
    <row r="2993" spans="1:5" x14ac:dyDescent="0.3">
      <c r="A2993" s="10">
        <v>194</v>
      </c>
      <c r="B2993" s="10">
        <v>12</v>
      </c>
      <c r="C2993" s="10" t="s">
        <v>26</v>
      </c>
      <c r="D2993" s="10" t="s">
        <v>64</v>
      </c>
      <c r="E2993" s="15">
        <f>9.84-0.037-0.087</f>
        <v>9.7159999999999993</v>
      </c>
    </row>
    <row r="2994" spans="1:5" x14ac:dyDescent="0.3">
      <c r="A2994" s="8">
        <v>194</v>
      </c>
      <c r="B2994" s="8">
        <v>12</v>
      </c>
      <c r="C2994" s="8">
        <v>45</v>
      </c>
      <c r="D2994" s="8" t="s">
        <v>1</v>
      </c>
      <c r="E2994" s="9">
        <v>5</v>
      </c>
    </row>
    <row r="2995" spans="1:5" x14ac:dyDescent="0.3">
      <c r="A2995" s="10">
        <v>194</v>
      </c>
      <c r="B2995" s="10">
        <v>12</v>
      </c>
      <c r="C2995" s="10" t="s">
        <v>28</v>
      </c>
      <c r="D2995" s="10" t="s">
        <v>1</v>
      </c>
      <c r="E2995" s="15">
        <f>4.13-0.332-0.174+1.03-0.222-0.169-0.53-0.189</f>
        <v>3.5439999999999996</v>
      </c>
    </row>
    <row r="2996" spans="1:5" x14ac:dyDescent="0.3">
      <c r="A2996" s="8">
        <v>194</v>
      </c>
      <c r="B2996" s="8">
        <v>12</v>
      </c>
      <c r="C2996" s="8" t="s">
        <v>30</v>
      </c>
      <c r="D2996" s="8" t="s">
        <v>1</v>
      </c>
      <c r="E2996" s="9">
        <v>5</v>
      </c>
    </row>
    <row r="2997" spans="1:5" x14ac:dyDescent="0.3">
      <c r="A2997" s="8">
        <v>194</v>
      </c>
      <c r="B2997" s="8">
        <v>12</v>
      </c>
      <c r="C2997" s="10" t="s">
        <v>29</v>
      </c>
      <c r="D2997" s="10" t="s">
        <v>3</v>
      </c>
      <c r="E2997" s="9">
        <v>3.097</v>
      </c>
    </row>
    <row r="2998" spans="1:5" x14ac:dyDescent="0.3">
      <c r="A2998" s="13">
        <v>194</v>
      </c>
      <c r="B2998" s="13">
        <v>13</v>
      </c>
      <c r="C2998" s="13">
        <v>20</v>
      </c>
      <c r="D2998" s="13" t="s">
        <v>1</v>
      </c>
      <c r="E2998" s="16">
        <f>0.98+0.99-0.436-0.032-0.178-0.081-0.032-0.178-0.12-0.022-0.097-0.579-0.088-0.09-0.089+0.25</f>
        <v>0.1980000000000002</v>
      </c>
    </row>
    <row r="2999" spans="1:5" x14ac:dyDescent="0.3">
      <c r="A2999" s="8">
        <v>194</v>
      </c>
      <c r="B2999" s="8">
        <v>14</v>
      </c>
      <c r="C2999" s="8">
        <v>20</v>
      </c>
      <c r="D2999" s="8" t="s">
        <v>1</v>
      </c>
      <c r="E2999" s="9">
        <f>4.9-0.028-0.066-0.132-0.035-0.142-0.034-0.019-0.068-0.044-0.071</f>
        <v>4.2610000000000019</v>
      </c>
    </row>
    <row r="3000" spans="1:5" x14ac:dyDescent="0.3">
      <c r="A3000" s="8">
        <v>194</v>
      </c>
      <c r="B3000" s="8">
        <v>14</v>
      </c>
      <c r="C3000" s="8" t="s">
        <v>26</v>
      </c>
      <c r="D3000" s="8" t="s">
        <v>1</v>
      </c>
      <c r="E3000" s="9">
        <f>5.28-0.561-0.086-0.048-1.874-0.803-0.98-0.097-0.034-0.764+0.104-0.124</f>
        <v>1.2999999999999901E-2</v>
      </c>
    </row>
    <row r="3001" spans="1:5" x14ac:dyDescent="0.3">
      <c r="A3001" s="10">
        <v>194</v>
      </c>
      <c r="B3001" s="10">
        <v>14</v>
      </c>
      <c r="C3001" s="10" t="s">
        <v>26</v>
      </c>
      <c r="D3001" s="10" t="s">
        <v>64</v>
      </c>
      <c r="E3001" s="15">
        <f>1.35+3.86-0.053-0.192-0.175-0.494-0.51-0.065-0.031-0.492-0.066-0.128</f>
        <v>3.0040000000000004</v>
      </c>
    </row>
    <row r="3002" spans="1:5" x14ac:dyDescent="0.3">
      <c r="A3002" s="8">
        <v>194</v>
      </c>
      <c r="B3002" s="8">
        <v>14</v>
      </c>
      <c r="C3002" s="8" t="s">
        <v>30</v>
      </c>
      <c r="D3002" s="8" t="s">
        <v>1</v>
      </c>
      <c r="E3002" s="9">
        <v>5</v>
      </c>
    </row>
    <row r="3003" spans="1:5" x14ac:dyDescent="0.3">
      <c r="A3003" s="8">
        <v>194</v>
      </c>
      <c r="B3003" s="8">
        <v>16</v>
      </c>
      <c r="C3003" s="8">
        <v>20</v>
      </c>
      <c r="D3003" s="8" t="s">
        <v>1</v>
      </c>
      <c r="E3003" s="9">
        <v>5</v>
      </c>
    </row>
    <row r="3004" spans="1:5" x14ac:dyDescent="0.3">
      <c r="A3004" s="8">
        <v>194</v>
      </c>
      <c r="B3004" s="8">
        <v>16</v>
      </c>
      <c r="C3004" s="8" t="s">
        <v>26</v>
      </c>
      <c r="D3004" s="8" t="s">
        <v>64</v>
      </c>
      <c r="E3004" s="9">
        <f>6.57-0.074-0.414-0.502+3.52-0.034-0.092-0.346-0.041-0.041-0.017-0.152-0.041-0.076-0.036</f>
        <v>8.2240000000000002</v>
      </c>
    </row>
    <row r="3005" spans="1:5" x14ac:dyDescent="0.3">
      <c r="A3005" s="10">
        <v>194</v>
      </c>
      <c r="B3005" s="10">
        <v>16</v>
      </c>
      <c r="C3005" s="10">
        <v>35</v>
      </c>
      <c r="D3005" s="10" t="s">
        <v>1</v>
      </c>
      <c r="E3005" s="15">
        <f>0.662-0.075-0.076-0.244-0.053</f>
        <v>0.21400000000000013</v>
      </c>
    </row>
    <row r="3006" spans="1:5" x14ac:dyDescent="0.3">
      <c r="A3006" s="8">
        <v>194</v>
      </c>
      <c r="B3006" s="8">
        <v>16</v>
      </c>
      <c r="C3006" s="8">
        <v>35</v>
      </c>
      <c r="D3006" s="8" t="s">
        <v>1</v>
      </c>
      <c r="E3006" s="9">
        <v>5</v>
      </c>
    </row>
    <row r="3007" spans="1:5" x14ac:dyDescent="0.3">
      <c r="A3007" s="10">
        <v>194</v>
      </c>
      <c r="B3007" s="10">
        <v>16</v>
      </c>
      <c r="C3007" s="10">
        <v>45</v>
      </c>
      <c r="D3007" s="10" t="s">
        <v>1</v>
      </c>
      <c r="E3007" s="15">
        <f>4.236-0.16-0.076-0.119-0.112-0.114-0.506-0.041-1.262-0.031-0.224-0.09-0.633-0.111-0.047-0.22</f>
        <v>0.48999999999999921</v>
      </c>
    </row>
    <row r="3008" spans="1:5" x14ac:dyDescent="0.3">
      <c r="A3008" s="10">
        <v>194</v>
      </c>
      <c r="B3008" s="10">
        <v>16</v>
      </c>
      <c r="C3008" s="10">
        <v>45</v>
      </c>
      <c r="D3008" s="10" t="s">
        <v>1</v>
      </c>
      <c r="E3008" s="15">
        <v>2.81</v>
      </c>
    </row>
    <row r="3009" spans="1:5" x14ac:dyDescent="0.3">
      <c r="A3009" s="10">
        <v>194</v>
      </c>
      <c r="B3009" s="10">
        <v>16</v>
      </c>
      <c r="C3009" s="10" t="s">
        <v>28</v>
      </c>
      <c r="D3009" s="10" t="s">
        <v>1</v>
      </c>
      <c r="E3009" s="15">
        <f>2.46+2.47-1.241-0.119-1.13+1.89+2.425-0.465</f>
        <v>6.2899999999999991</v>
      </c>
    </row>
    <row r="3010" spans="1:5" x14ac:dyDescent="0.3">
      <c r="A3010" s="8">
        <v>194</v>
      </c>
      <c r="B3010" s="8">
        <v>16</v>
      </c>
      <c r="C3010" s="8" t="s">
        <v>30</v>
      </c>
      <c r="D3010" s="8" t="s">
        <v>1</v>
      </c>
      <c r="E3010" s="9">
        <v>5</v>
      </c>
    </row>
    <row r="3011" spans="1:5" x14ac:dyDescent="0.3">
      <c r="A3011" s="8">
        <v>194</v>
      </c>
      <c r="B3011" s="8">
        <v>18</v>
      </c>
      <c r="C3011" s="8">
        <v>20</v>
      </c>
      <c r="D3011" s="8" t="s">
        <v>1</v>
      </c>
      <c r="E3011" s="9">
        <v>5</v>
      </c>
    </row>
    <row r="3012" spans="1:5" x14ac:dyDescent="0.3">
      <c r="A3012" s="8">
        <v>194</v>
      </c>
      <c r="B3012" s="8">
        <v>18</v>
      </c>
      <c r="C3012" s="8" t="s">
        <v>26</v>
      </c>
      <c r="D3012" s="8" t="s">
        <v>64</v>
      </c>
      <c r="E3012" s="9">
        <f>3.99-0.121+5.69-0.027-0.082-1.017-0.16</f>
        <v>8.2730000000000015</v>
      </c>
    </row>
    <row r="3013" spans="1:5" x14ac:dyDescent="0.3">
      <c r="A3013" s="8">
        <v>194</v>
      </c>
      <c r="B3013" s="8">
        <v>18</v>
      </c>
      <c r="C3013" s="8">
        <v>45</v>
      </c>
      <c r="D3013" s="8" t="s">
        <v>1</v>
      </c>
      <c r="E3013" s="9">
        <v>5</v>
      </c>
    </row>
    <row r="3014" spans="1:5" x14ac:dyDescent="0.3">
      <c r="A3014" s="8">
        <v>194</v>
      </c>
      <c r="B3014" s="8">
        <v>18</v>
      </c>
      <c r="C3014" s="8" t="s">
        <v>28</v>
      </c>
      <c r="D3014" s="8" t="s">
        <v>1</v>
      </c>
      <c r="E3014" s="9">
        <f>7.22-1.08-3.74-0.53-0.533</f>
        <v>1.3369999999999993</v>
      </c>
    </row>
    <row r="3015" spans="1:5" x14ac:dyDescent="0.3">
      <c r="A3015" s="10">
        <v>194</v>
      </c>
      <c r="B3015" s="10">
        <v>18</v>
      </c>
      <c r="C3015" s="10" t="s">
        <v>28</v>
      </c>
      <c r="D3015" s="10" t="s">
        <v>1</v>
      </c>
      <c r="E3015" s="15">
        <f>6.635+0.58</f>
        <v>7.2149999999999999</v>
      </c>
    </row>
    <row r="3016" spans="1:5" x14ac:dyDescent="0.3">
      <c r="A3016" s="10">
        <v>194</v>
      </c>
      <c r="B3016" s="10">
        <v>18</v>
      </c>
      <c r="C3016" s="10" t="s">
        <v>30</v>
      </c>
      <c r="D3016" s="10" t="s">
        <v>1</v>
      </c>
      <c r="E3016" s="15">
        <f>5.075+1.114-3.376</f>
        <v>2.8130000000000002</v>
      </c>
    </row>
    <row r="3017" spans="1:5" x14ac:dyDescent="0.3">
      <c r="A3017" s="8">
        <v>194</v>
      </c>
      <c r="B3017" s="8">
        <v>18</v>
      </c>
      <c r="C3017" s="8" t="s">
        <v>29</v>
      </c>
      <c r="D3017" s="8" t="s">
        <v>3</v>
      </c>
      <c r="E3017" s="9">
        <f>0.973-0.037</f>
        <v>0.93599999999999994</v>
      </c>
    </row>
    <row r="3018" spans="1:5" x14ac:dyDescent="0.3">
      <c r="A3018" s="8">
        <v>194</v>
      </c>
      <c r="B3018" s="8">
        <v>20</v>
      </c>
      <c r="C3018" s="8">
        <v>20</v>
      </c>
      <c r="D3018" s="8" t="s">
        <v>1</v>
      </c>
      <c r="E3018" s="9">
        <v>5</v>
      </c>
    </row>
    <row r="3019" spans="1:5" x14ac:dyDescent="0.3">
      <c r="A3019" s="8">
        <v>194</v>
      </c>
      <c r="B3019" s="8">
        <v>20</v>
      </c>
      <c r="C3019" s="8" t="s">
        <v>26</v>
      </c>
      <c r="D3019" s="8" t="s">
        <v>64</v>
      </c>
      <c r="E3019" s="9">
        <f>7.46+2.59-0.22-0.055-0.016-0.252</f>
        <v>9.5069999999999997</v>
      </c>
    </row>
    <row r="3020" spans="1:5" x14ac:dyDescent="0.3">
      <c r="A3020" s="8">
        <v>194</v>
      </c>
      <c r="B3020" s="8">
        <v>20</v>
      </c>
      <c r="C3020" s="8">
        <v>35</v>
      </c>
      <c r="D3020" s="8" t="s">
        <v>1</v>
      </c>
      <c r="E3020" s="9">
        <v>5</v>
      </c>
    </row>
    <row r="3021" spans="1:5" x14ac:dyDescent="0.3">
      <c r="A3021" s="8">
        <v>194</v>
      </c>
      <c r="B3021" s="8">
        <v>20</v>
      </c>
      <c r="C3021" s="8">
        <v>45</v>
      </c>
      <c r="D3021" s="8" t="s">
        <v>1</v>
      </c>
      <c r="E3021" s="9">
        <v>5</v>
      </c>
    </row>
    <row r="3022" spans="1:5" x14ac:dyDescent="0.3">
      <c r="A3022" s="10">
        <v>194</v>
      </c>
      <c r="B3022" s="10">
        <v>20</v>
      </c>
      <c r="C3022" s="10" t="s">
        <v>36</v>
      </c>
      <c r="D3022" s="10" t="s">
        <v>1</v>
      </c>
      <c r="E3022" s="15">
        <v>2.84</v>
      </c>
    </row>
    <row r="3023" spans="1:5" x14ac:dyDescent="0.3">
      <c r="A3023" s="10">
        <v>194</v>
      </c>
      <c r="B3023" s="10">
        <v>20</v>
      </c>
      <c r="C3023" s="10" t="s">
        <v>36</v>
      </c>
      <c r="D3023" s="10" t="s">
        <v>1</v>
      </c>
      <c r="E3023" s="15">
        <f>5-2.84</f>
        <v>2.16</v>
      </c>
    </row>
    <row r="3024" spans="1:5" x14ac:dyDescent="0.3">
      <c r="A3024" s="8">
        <v>194</v>
      </c>
      <c r="B3024" s="8">
        <v>20</v>
      </c>
      <c r="C3024" s="8" t="s">
        <v>28</v>
      </c>
      <c r="D3024" s="8" t="s">
        <v>1</v>
      </c>
      <c r="E3024" s="9">
        <f>7.16-0.079-0.178-6.724+0.009</f>
        <v>0.18800000000000028</v>
      </c>
    </row>
    <row r="3025" spans="1:5" x14ac:dyDescent="0.3">
      <c r="A3025" s="8">
        <v>194</v>
      </c>
      <c r="B3025" s="8">
        <v>20</v>
      </c>
      <c r="C3025" s="8" t="s">
        <v>28</v>
      </c>
      <c r="D3025" s="8" t="s">
        <v>1</v>
      </c>
      <c r="E3025" s="9">
        <v>6.7240000000000002</v>
      </c>
    </row>
    <row r="3026" spans="1:5" x14ac:dyDescent="0.3">
      <c r="A3026" s="10">
        <v>194</v>
      </c>
      <c r="B3026" s="10">
        <v>20</v>
      </c>
      <c r="C3026" s="10" t="s">
        <v>30</v>
      </c>
      <c r="D3026" s="10" t="s">
        <v>1</v>
      </c>
      <c r="E3026" s="15">
        <f>4.823-0.807-0.805-0.043-0.102-0.118+1.747-0.577-0.539+0.539-0.539-0.176-0.066-0.258-0.169-2.416-0.136</f>
        <v>0.35800000000000021</v>
      </c>
    </row>
    <row r="3027" spans="1:5" x14ac:dyDescent="0.3">
      <c r="A3027" s="10">
        <v>194</v>
      </c>
      <c r="B3027" s="10">
        <v>20</v>
      </c>
      <c r="C3027" s="10" t="s">
        <v>30</v>
      </c>
      <c r="D3027" s="10" t="s">
        <v>1</v>
      </c>
      <c r="E3027" s="15">
        <v>2.4159999999999999</v>
      </c>
    </row>
    <row r="3028" spans="1:5" x14ac:dyDescent="0.3">
      <c r="A3028" s="8">
        <v>194</v>
      </c>
      <c r="B3028" s="8">
        <v>20</v>
      </c>
      <c r="C3028" s="8" t="s">
        <v>30</v>
      </c>
      <c r="D3028" s="8" t="s">
        <v>1</v>
      </c>
      <c r="E3028" s="9">
        <v>5</v>
      </c>
    </row>
    <row r="3029" spans="1:5" x14ac:dyDescent="0.3">
      <c r="A3029" s="8">
        <v>194</v>
      </c>
      <c r="B3029" s="8">
        <v>20</v>
      </c>
      <c r="C3029" s="8" t="s">
        <v>106</v>
      </c>
      <c r="D3029" s="8" t="s">
        <v>1</v>
      </c>
      <c r="E3029" s="9">
        <v>4.8049999999999997</v>
      </c>
    </row>
    <row r="3030" spans="1:5" x14ac:dyDescent="0.3">
      <c r="A3030" s="8">
        <v>194</v>
      </c>
      <c r="B3030" s="8">
        <v>22</v>
      </c>
      <c r="C3030" s="8">
        <v>20</v>
      </c>
      <c r="D3030" s="8" t="s">
        <v>1</v>
      </c>
      <c r="E3030" s="9">
        <v>5</v>
      </c>
    </row>
    <row r="3031" spans="1:5" x14ac:dyDescent="0.3">
      <c r="A3031" s="8">
        <v>194</v>
      </c>
      <c r="B3031" s="8">
        <v>22</v>
      </c>
      <c r="C3031" s="8">
        <v>20</v>
      </c>
      <c r="D3031" s="8" t="s">
        <v>32</v>
      </c>
      <c r="E3031" s="9">
        <f>5.4-0.065-0.197-0.054</f>
        <v>5.0839999999999996</v>
      </c>
    </row>
    <row r="3032" spans="1:5" x14ac:dyDescent="0.3">
      <c r="A3032" s="8">
        <v>194</v>
      </c>
      <c r="B3032" s="8">
        <v>22</v>
      </c>
      <c r="C3032" s="8">
        <v>45</v>
      </c>
      <c r="D3032" s="8" t="s">
        <v>1</v>
      </c>
      <c r="E3032" s="9">
        <v>5</v>
      </c>
    </row>
    <row r="3033" spans="1:5" x14ac:dyDescent="0.3">
      <c r="A3033" s="10">
        <v>194</v>
      </c>
      <c r="B3033" s="10">
        <v>22</v>
      </c>
      <c r="C3033" s="10" t="s">
        <v>28</v>
      </c>
      <c r="D3033" s="10" t="s">
        <v>1</v>
      </c>
      <c r="E3033" s="15">
        <f>3.99+8.08-0.765-4.878-0.1-0.249-0.098-1.633-0.325-1.654-0.831</f>
        <v>1.5370000000000004</v>
      </c>
    </row>
    <row r="3034" spans="1:5" x14ac:dyDescent="0.3">
      <c r="A3034" s="10">
        <v>194</v>
      </c>
      <c r="B3034" s="10">
        <v>24</v>
      </c>
      <c r="C3034" s="10">
        <v>35</v>
      </c>
      <c r="D3034" s="10" t="s">
        <v>1</v>
      </c>
      <c r="E3034" s="15">
        <f>3.5-0.129-0.651-0.318-0.057-0.109</f>
        <v>2.2359999999999998</v>
      </c>
    </row>
    <row r="3035" spans="1:5" x14ac:dyDescent="0.3">
      <c r="A3035" s="8">
        <v>194</v>
      </c>
      <c r="B3035" s="8">
        <v>25</v>
      </c>
      <c r="C3035" s="8">
        <v>20</v>
      </c>
      <c r="D3035" s="8" t="s">
        <v>1</v>
      </c>
      <c r="E3035" s="9">
        <v>5</v>
      </c>
    </row>
    <row r="3036" spans="1:5" x14ac:dyDescent="0.3">
      <c r="A3036" s="10">
        <v>194</v>
      </c>
      <c r="B3036" s="10">
        <v>25</v>
      </c>
      <c r="C3036" s="10" t="s">
        <v>26</v>
      </c>
      <c r="D3036" s="10" t="s">
        <v>1</v>
      </c>
      <c r="E3036" s="15">
        <f>5.127-0.167-0.11-0.129-0.153-0.22-0.766-0.299-0.411+8.25+1.775-2.989-0.958-0.107+0.01-1.539-0.038-0.073-0.028-0.113-0.477-2.844-0.435-0.333-0.052-3.279+0.368</f>
        <v>1.0000000000000786E-2</v>
      </c>
    </row>
    <row r="3037" spans="1:5" x14ac:dyDescent="0.3">
      <c r="A3037" s="8">
        <v>194</v>
      </c>
      <c r="B3037" s="8">
        <v>25</v>
      </c>
      <c r="C3037" s="8" t="s">
        <v>26</v>
      </c>
      <c r="D3037" s="8" t="s">
        <v>64</v>
      </c>
      <c r="E3037" s="9">
        <f>4.81-0.488+4.18-0.131-0.064</f>
        <v>8.3069999999999986</v>
      </c>
    </row>
    <row r="3038" spans="1:5" x14ac:dyDescent="0.3">
      <c r="A3038" s="8">
        <v>194</v>
      </c>
      <c r="B3038" s="8">
        <v>25</v>
      </c>
      <c r="C3038" s="8" t="s">
        <v>26</v>
      </c>
      <c r="D3038" s="8" t="s">
        <v>64</v>
      </c>
      <c r="E3038" s="9">
        <f>10-7.35-1.21</f>
        <v>1.4400000000000004</v>
      </c>
    </row>
    <row r="3039" spans="1:5" x14ac:dyDescent="0.3">
      <c r="A3039" s="8">
        <v>194</v>
      </c>
      <c r="B3039" s="8">
        <v>25</v>
      </c>
      <c r="C3039" s="8" t="s">
        <v>26</v>
      </c>
      <c r="D3039" s="8" t="s">
        <v>64</v>
      </c>
      <c r="E3039" s="9">
        <f>10-4.81-4.18</f>
        <v>1.0100000000000007</v>
      </c>
    </row>
    <row r="3040" spans="1:5" x14ac:dyDescent="0.3">
      <c r="A3040" s="8">
        <v>194</v>
      </c>
      <c r="B3040" s="8">
        <v>25</v>
      </c>
      <c r="C3040" s="8">
        <v>35</v>
      </c>
      <c r="D3040" s="8" t="s">
        <v>1</v>
      </c>
      <c r="E3040" s="9">
        <v>5</v>
      </c>
    </row>
    <row r="3041" spans="1:5" x14ac:dyDescent="0.3">
      <c r="A3041" s="10">
        <v>194</v>
      </c>
      <c r="B3041" s="10">
        <v>25</v>
      </c>
      <c r="C3041" s="10">
        <v>45</v>
      </c>
      <c r="D3041" s="10" t="s">
        <v>1</v>
      </c>
      <c r="E3041" s="15">
        <f>4.98-0.634-0.109-0.424-0.108</f>
        <v>3.7050000000000001</v>
      </c>
    </row>
    <row r="3042" spans="1:5" x14ac:dyDescent="0.3">
      <c r="A3042" s="10">
        <v>194</v>
      </c>
      <c r="B3042" s="10">
        <v>25</v>
      </c>
      <c r="C3042" s="10" t="s">
        <v>28</v>
      </c>
      <c r="D3042" s="10" t="s">
        <v>1</v>
      </c>
      <c r="E3042" s="15">
        <f>5.27+4.325-0.037-0.82-2.713-2.673-0.162-0.162</f>
        <v>3.0279999999999978</v>
      </c>
    </row>
    <row r="3043" spans="1:5" x14ac:dyDescent="0.3">
      <c r="A3043" s="10">
        <v>194</v>
      </c>
      <c r="B3043" s="10">
        <v>25</v>
      </c>
      <c r="C3043" s="10" t="s">
        <v>28</v>
      </c>
      <c r="D3043" s="10" t="s">
        <v>1</v>
      </c>
      <c r="E3043" s="15">
        <f>2.62+2.63+2.6+2.58+2.713+2.673-1.812-3.61</f>
        <v>10.394000000000002</v>
      </c>
    </row>
    <row r="3044" spans="1:5" x14ac:dyDescent="0.3">
      <c r="A3044" s="10">
        <v>194</v>
      </c>
      <c r="B3044" s="10">
        <v>25</v>
      </c>
      <c r="C3044" s="10" t="s">
        <v>30</v>
      </c>
      <c r="D3044" s="10" t="s">
        <v>1</v>
      </c>
      <c r="E3044" s="15">
        <f>13.557-0.317-0.626-0.368-2.055-0.317-0.672-0.317-1.376-0.222-0.09-1.026-0.058+12.524-0.214-0.409-0.673-0.327-0.824-0.691-0.692-0.355-1.375-0.692-1.533-0.634-0.353-0.194-0.831-0.834-0.017-0.105-0.111-0.131-0.018-0.072-0.394-0.845-0.078-0.846-0.214-0.832-1.673-0.056-0.852-1.675</f>
        <v>8.6999999999995525E-2</v>
      </c>
    </row>
    <row r="3045" spans="1:5" x14ac:dyDescent="0.3">
      <c r="A3045" s="8">
        <v>194</v>
      </c>
      <c r="B3045" s="8">
        <v>25</v>
      </c>
      <c r="C3045" s="8" t="s">
        <v>30</v>
      </c>
      <c r="D3045" s="8" t="s">
        <v>1</v>
      </c>
      <c r="E3045" s="9">
        <v>10</v>
      </c>
    </row>
    <row r="3046" spans="1:5" x14ac:dyDescent="0.3">
      <c r="A3046" s="10">
        <v>194</v>
      </c>
      <c r="B3046" s="10">
        <v>25</v>
      </c>
      <c r="C3046" s="10" t="s">
        <v>106</v>
      </c>
      <c r="D3046" s="10" t="s">
        <v>15</v>
      </c>
      <c r="E3046" s="15">
        <f>4.19+3.955</f>
        <v>8.1449999999999996</v>
      </c>
    </row>
    <row r="3047" spans="1:5" x14ac:dyDescent="0.3">
      <c r="A3047" s="10">
        <v>194</v>
      </c>
      <c r="B3047" s="10">
        <v>25</v>
      </c>
      <c r="C3047" s="10" t="s">
        <v>106</v>
      </c>
      <c r="D3047" s="10" t="s">
        <v>1</v>
      </c>
      <c r="E3047" s="15">
        <f>7-3.955</f>
        <v>3.0449999999999999</v>
      </c>
    </row>
    <row r="3048" spans="1:5" x14ac:dyDescent="0.3">
      <c r="A3048" s="8">
        <v>194</v>
      </c>
      <c r="B3048" s="8">
        <v>28</v>
      </c>
      <c r="C3048" s="8">
        <v>20</v>
      </c>
      <c r="D3048" s="8" t="s">
        <v>1</v>
      </c>
      <c r="E3048" s="9">
        <v>5</v>
      </c>
    </row>
    <row r="3049" spans="1:5" x14ac:dyDescent="0.3">
      <c r="A3049" s="10">
        <v>194</v>
      </c>
      <c r="B3049" s="10">
        <v>28</v>
      </c>
      <c r="C3049" s="10" t="s">
        <v>26</v>
      </c>
      <c r="D3049" s="10" t="s">
        <v>64</v>
      </c>
      <c r="E3049" s="15">
        <f>6.225-0.122-0.269-0.8+2.355-0.145-1.625-0.436-0.079-0.179-0.095-0.145-0.121</f>
        <v>4.5640000000000001</v>
      </c>
    </row>
    <row r="3050" spans="1:5" x14ac:dyDescent="0.3">
      <c r="A3050" s="8">
        <v>194</v>
      </c>
      <c r="B3050" s="8">
        <v>28</v>
      </c>
      <c r="C3050" s="8">
        <v>35</v>
      </c>
      <c r="D3050" s="8" t="s">
        <v>1</v>
      </c>
      <c r="E3050" s="9">
        <v>5</v>
      </c>
    </row>
    <row r="3051" spans="1:5" x14ac:dyDescent="0.3">
      <c r="A3051" s="8">
        <v>194</v>
      </c>
      <c r="B3051" s="8">
        <v>28</v>
      </c>
      <c r="C3051" s="8">
        <v>45</v>
      </c>
      <c r="D3051" s="8" t="s">
        <v>1</v>
      </c>
      <c r="E3051" s="9">
        <v>5</v>
      </c>
    </row>
    <row r="3052" spans="1:5" x14ac:dyDescent="0.3">
      <c r="A3052" s="10">
        <v>194</v>
      </c>
      <c r="B3052" s="10">
        <v>28</v>
      </c>
      <c r="C3052" s="10" t="s">
        <v>28</v>
      </c>
      <c r="D3052" s="10" t="s">
        <v>1</v>
      </c>
      <c r="E3052" s="15">
        <f>2.945-0.363-1.007-1.03-0.172</f>
        <v>0.37299999999999994</v>
      </c>
    </row>
    <row r="3053" spans="1:5" x14ac:dyDescent="0.3">
      <c r="A3053" s="10">
        <v>194</v>
      </c>
      <c r="B3053" s="10">
        <v>28</v>
      </c>
      <c r="C3053" s="10" t="s">
        <v>28</v>
      </c>
      <c r="D3053" s="10" t="s">
        <v>1</v>
      </c>
      <c r="E3053" s="15">
        <f>2.41+2.42+2.425+2.405-0.85</f>
        <v>8.81</v>
      </c>
    </row>
    <row r="3054" spans="1:5" x14ac:dyDescent="0.3">
      <c r="A3054" s="10">
        <v>194</v>
      </c>
      <c r="B3054" s="10">
        <v>28</v>
      </c>
      <c r="C3054" s="10" t="s">
        <v>30</v>
      </c>
      <c r="D3054" s="10" t="s">
        <v>1</v>
      </c>
      <c r="E3054" s="15">
        <f>5.19-1.044-0.254-3.131</f>
        <v>0.76100000000000101</v>
      </c>
    </row>
    <row r="3055" spans="1:5" x14ac:dyDescent="0.3">
      <c r="A3055" s="8">
        <v>194</v>
      </c>
      <c r="B3055" s="8">
        <v>30</v>
      </c>
      <c r="C3055" s="8">
        <v>20</v>
      </c>
      <c r="D3055" s="8" t="s">
        <v>1</v>
      </c>
      <c r="E3055" s="9">
        <v>5</v>
      </c>
    </row>
    <row r="3056" spans="1:5" x14ac:dyDescent="0.3">
      <c r="A3056" s="10">
        <v>194</v>
      </c>
      <c r="B3056" s="10">
        <v>30</v>
      </c>
      <c r="C3056" s="10" t="s">
        <v>26</v>
      </c>
      <c r="D3056" s="10" t="s">
        <v>64</v>
      </c>
      <c r="E3056" s="15">
        <f>5.495+7.55-0.041-0.598+1.92+1.085-0.189-0.396-0.818-0.065-0.108-0.086-0.078-0.076-0.125-0.374-0.159-0.043-0.078</f>
        <v>12.815999999999997</v>
      </c>
    </row>
    <row r="3057" spans="1:5" x14ac:dyDescent="0.3">
      <c r="A3057" s="10">
        <v>194</v>
      </c>
      <c r="B3057" s="10">
        <v>30</v>
      </c>
      <c r="C3057" s="10">
        <v>35</v>
      </c>
      <c r="D3057" s="10" t="s">
        <v>1</v>
      </c>
      <c r="E3057" s="15">
        <f>6.21-0.131-0.067-1.572-2.158</f>
        <v>2.2819999999999996</v>
      </c>
    </row>
    <row r="3058" spans="1:5" x14ac:dyDescent="0.3">
      <c r="A3058" s="8">
        <v>194</v>
      </c>
      <c r="B3058" s="8">
        <v>30</v>
      </c>
      <c r="C3058" s="8">
        <v>35</v>
      </c>
      <c r="D3058" s="8" t="s">
        <v>1</v>
      </c>
      <c r="E3058" s="9">
        <v>5</v>
      </c>
    </row>
    <row r="3059" spans="1:5" x14ac:dyDescent="0.3">
      <c r="A3059" s="10">
        <v>194</v>
      </c>
      <c r="B3059" s="10">
        <v>30</v>
      </c>
      <c r="C3059" s="10">
        <v>45</v>
      </c>
      <c r="D3059" s="10" t="s">
        <v>1</v>
      </c>
      <c r="E3059" s="15">
        <f>7.69-0.128-0.042-0.131-0.129-0.522-0.129-0.312-0.14-0.068-0.067-0.25-2.213-0.338-0.279-0.153-0.252-2.228-0.059-0.3+0.064</f>
        <v>1.3999999999999735E-2</v>
      </c>
    </row>
    <row r="3060" spans="1:5" x14ac:dyDescent="0.3">
      <c r="A3060" s="8">
        <v>194</v>
      </c>
      <c r="B3060" s="8">
        <v>30</v>
      </c>
      <c r="C3060" s="8">
        <v>45</v>
      </c>
      <c r="D3060" s="8" t="s">
        <v>1</v>
      </c>
      <c r="E3060" s="9">
        <v>5</v>
      </c>
    </row>
    <row r="3061" spans="1:5" x14ac:dyDescent="0.3">
      <c r="A3061" s="10">
        <v>194</v>
      </c>
      <c r="B3061" s="10">
        <v>30</v>
      </c>
      <c r="C3061" s="10" t="s">
        <v>36</v>
      </c>
      <c r="D3061" s="10" t="s">
        <v>1</v>
      </c>
      <c r="E3061" s="15">
        <f>4.215+4.235+2.035</f>
        <v>10.484999999999999</v>
      </c>
    </row>
    <row r="3062" spans="1:5" x14ac:dyDescent="0.3">
      <c r="A3062" s="10">
        <v>194</v>
      </c>
      <c r="B3062" s="10">
        <v>30</v>
      </c>
      <c r="C3062" s="10" t="s">
        <v>28</v>
      </c>
      <c r="D3062" s="10" t="s">
        <v>1</v>
      </c>
      <c r="E3062" s="15">
        <v>5</v>
      </c>
    </row>
    <row r="3063" spans="1:5" x14ac:dyDescent="0.3">
      <c r="A3063" s="10">
        <v>194</v>
      </c>
      <c r="B3063" s="10">
        <v>30</v>
      </c>
      <c r="C3063" s="10" t="s">
        <v>30</v>
      </c>
      <c r="D3063" s="10" t="s">
        <v>1</v>
      </c>
      <c r="E3063" s="15">
        <f>2.135+2.155+1.07-2.147+5.175-0.03-0.141-0.032</f>
        <v>8.1850000000000005</v>
      </c>
    </row>
    <row r="3064" spans="1:5" x14ac:dyDescent="0.3">
      <c r="A3064" s="10">
        <v>194</v>
      </c>
      <c r="B3064" s="10">
        <v>32</v>
      </c>
      <c r="C3064" s="10">
        <v>20</v>
      </c>
      <c r="D3064" s="10" t="s">
        <v>1</v>
      </c>
      <c r="E3064" s="15">
        <f>5.42-0.199-0.068-0.391-0.466-0.071-0.071-0.071-0.108-2.264-0.132-0.405</f>
        <v>1.174000000000001</v>
      </c>
    </row>
    <row r="3065" spans="1:5" x14ac:dyDescent="0.3">
      <c r="A3065" s="10">
        <v>194</v>
      </c>
      <c r="B3065" s="10">
        <v>32</v>
      </c>
      <c r="C3065" s="10">
        <v>20</v>
      </c>
      <c r="D3065" s="10" t="s">
        <v>1</v>
      </c>
      <c r="E3065" s="15">
        <v>2.2639999999999998</v>
      </c>
    </row>
    <row r="3066" spans="1:5" x14ac:dyDescent="0.3">
      <c r="A3066" s="10">
        <v>194</v>
      </c>
      <c r="B3066" s="10">
        <v>32</v>
      </c>
      <c r="C3066" s="10" t="s">
        <v>26</v>
      </c>
      <c r="D3066" s="10" t="s">
        <v>64</v>
      </c>
      <c r="E3066" s="15">
        <f>4.925-0.16-1.104-0.134-0.159-0.398+0.197-0.262-2.239-0.025+4.86-0.631-1.325-0.088</f>
        <v>3.4569999999999999</v>
      </c>
    </row>
    <row r="3067" spans="1:5" x14ac:dyDescent="0.3">
      <c r="A3067" s="8">
        <v>194</v>
      </c>
      <c r="B3067" s="8">
        <v>32</v>
      </c>
      <c r="C3067" s="8">
        <v>35</v>
      </c>
      <c r="D3067" s="8" t="s">
        <v>1</v>
      </c>
      <c r="E3067" s="9">
        <v>5</v>
      </c>
    </row>
    <row r="3068" spans="1:5" x14ac:dyDescent="0.3">
      <c r="A3068" s="8">
        <v>194</v>
      </c>
      <c r="B3068" s="8">
        <v>32</v>
      </c>
      <c r="C3068" s="8">
        <v>45</v>
      </c>
      <c r="D3068" s="8" t="s">
        <v>1</v>
      </c>
      <c r="E3068" s="9">
        <v>5</v>
      </c>
    </row>
    <row r="3069" spans="1:5" x14ac:dyDescent="0.3">
      <c r="A3069" s="10">
        <v>194</v>
      </c>
      <c r="B3069" s="10">
        <v>32</v>
      </c>
      <c r="C3069" s="10" t="s">
        <v>28</v>
      </c>
      <c r="D3069" s="10" t="s">
        <v>1</v>
      </c>
      <c r="E3069" s="15">
        <f>11.001-2.02-0.353-0.704-0.189-0.704-0.112-0.038-0.045-0.47-0.705-0.325-0.343-4.668-0.186-0.06-0.047-0.026+0.03</f>
        <v>3.6000000000000185E-2</v>
      </c>
    </row>
    <row r="3070" spans="1:5" x14ac:dyDescent="0.3">
      <c r="A3070" s="10">
        <v>194</v>
      </c>
      <c r="B3070" s="10">
        <v>32</v>
      </c>
      <c r="C3070" s="10" t="s">
        <v>28</v>
      </c>
      <c r="D3070" s="10" t="s">
        <v>1</v>
      </c>
      <c r="E3070" s="15">
        <f>0.026+2.175-2.175</f>
        <v>2.5999999999999801E-2</v>
      </c>
    </row>
    <row r="3071" spans="1:5" x14ac:dyDescent="0.3">
      <c r="A3071" s="10">
        <v>194</v>
      </c>
      <c r="B3071" s="10">
        <v>32</v>
      </c>
      <c r="C3071" s="10" t="s">
        <v>28</v>
      </c>
      <c r="D3071" s="10" t="s">
        <v>1</v>
      </c>
      <c r="E3071" s="15">
        <f>2.155+2.135+1.065-1.089-0.084-2.111+2.175-1.114-1.099+3.235+2.15</f>
        <v>7.4179999999999993</v>
      </c>
    </row>
    <row r="3072" spans="1:5" x14ac:dyDescent="0.3">
      <c r="A3072" s="10">
        <v>194</v>
      </c>
      <c r="B3072" s="10">
        <v>32</v>
      </c>
      <c r="C3072" s="10" t="s">
        <v>30</v>
      </c>
      <c r="D3072" s="10" t="s">
        <v>1</v>
      </c>
      <c r="E3072" s="15">
        <f>3.165+2.145-0.067-0.453-0.083-0.133-1.373-0.518</f>
        <v>2.6829999999999998</v>
      </c>
    </row>
    <row r="3073" spans="1:5" x14ac:dyDescent="0.3">
      <c r="A3073" s="10">
        <v>194</v>
      </c>
      <c r="B3073" s="10">
        <v>34</v>
      </c>
      <c r="C3073" s="10" t="s">
        <v>28</v>
      </c>
      <c r="D3073" s="10" t="s">
        <v>1</v>
      </c>
      <c r="E3073" s="15">
        <f>2.38+5.39+3.585-0.154-2.076-0.211</f>
        <v>8.9139999999999997</v>
      </c>
    </row>
    <row r="3074" spans="1:5" x14ac:dyDescent="0.3">
      <c r="A3074" s="8">
        <v>194</v>
      </c>
      <c r="B3074" s="8">
        <v>36</v>
      </c>
      <c r="C3074" s="8">
        <v>20</v>
      </c>
      <c r="D3074" s="8" t="s">
        <v>1</v>
      </c>
      <c r="E3074" s="9">
        <v>5</v>
      </c>
    </row>
    <row r="3075" spans="1:5" x14ac:dyDescent="0.3">
      <c r="A3075" s="10">
        <v>194</v>
      </c>
      <c r="B3075" s="10">
        <v>36</v>
      </c>
      <c r="C3075" s="10" t="s">
        <v>26</v>
      </c>
      <c r="D3075" s="10" t="s">
        <v>64</v>
      </c>
      <c r="E3075" s="15">
        <f>10.68-0.542-1.065-0.555-0.307-1.058-0.086-0.041-0.718-0.357-0.057-0.195</f>
        <v>5.698999999999999</v>
      </c>
    </row>
    <row r="3076" spans="1:5" x14ac:dyDescent="0.3">
      <c r="A3076" s="8">
        <v>194</v>
      </c>
      <c r="B3076" s="8">
        <v>36</v>
      </c>
      <c r="C3076" s="8">
        <v>35</v>
      </c>
      <c r="D3076" s="8" t="s">
        <v>1</v>
      </c>
      <c r="E3076" s="9">
        <v>5</v>
      </c>
    </row>
    <row r="3077" spans="1:5" x14ac:dyDescent="0.3">
      <c r="A3077" s="8">
        <v>194</v>
      </c>
      <c r="B3077" s="8">
        <v>36</v>
      </c>
      <c r="C3077" s="8">
        <v>45</v>
      </c>
      <c r="D3077" s="8" t="s">
        <v>1</v>
      </c>
      <c r="E3077" s="9">
        <v>5</v>
      </c>
    </row>
    <row r="3078" spans="1:5" x14ac:dyDescent="0.3">
      <c r="A3078" s="10">
        <v>194</v>
      </c>
      <c r="B3078" s="10">
        <v>36</v>
      </c>
      <c r="C3078" s="10" t="s">
        <v>36</v>
      </c>
      <c r="D3078" s="10" t="s">
        <v>1</v>
      </c>
      <c r="E3078" s="15">
        <f>2.41-0.877</f>
        <v>1.5330000000000001</v>
      </c>
    </row>
    <row r="3079" spans="1:5" x14ac:dyDescent="0.3">
      <c r="A3079" s="10">
        <v>194</v>
      </c>
      <c r="B3079" s="10">
        <v>36</v>
      </c>
      <c r="C3079" s="10" t="s">
        <v>28</v>
      </c>
      <c r="D3079" s="10" t="s">
        <v>1</v>
      </c>
      <c r="E3079" s="15">
        <f>10.039-3.316-0.818-0.3-1.115-0.259-1.124-0.577-2.258-0.148+11.116-0.43+9.84-1.49-0.438-1.632-0.93-1.405-0.438-5.55-0.188-0.9-1.66-2.601-0.864-0.554-0.485-0.893-0.402-0.023</f>
        <v>0.19699999999999832</v>
      </c>
    </row>
    <row r="3080" spans="1:5" x14ac:dyDescent="0.3">
      <c r="A3080" s="10">
        <v>194</v>
      </c>
      <c r="B3080" s="10">
        <v>36</v>
      </c>
      <c r="C3080" s="10" t="s">
        <v>28</v>
      </c>
      <c r="D3080" s="10" t="s">
        <v>1</v>
      </c>
      <c r="E3080" s="15">
        <f>7.06+1.2+2.36-1.236</f>
        <v>9.3839999999999986</v>
      </c>
    </row>
    <row r="3081" spans="1:5" x14ac:dyDescent="0.3">
      <c r="A3081" s="10">
        <v>194</v>
      </c>
      <c r="B3081" s="10">
        <v>36</v>
      </c>
      <c r="C3081" s="10" t="s">
        <v>30</v>
      </c>
      <c r="D3081" s="10" t="s">
        <v>1</v>
      </c>
      <c r="E3081" s="15">
        <f>11.43-2.148-0.11-0.287-0.188</f>
        <v>8.6969999999999992</v>
      </c>
    </row>
    <row r="3082" spans="1:5" x14ac:dyDescent="0.3">
      <c r="A3082" s="8">
        <v>194</v>
      </c>
      <c r="B3082" s="8">
        <v>36</v>
      </c>
      <c r="C3082" s="8" t="s">
        <v>106</v>
      </c>
      <c r="D3082" s="8" t="s">
        <v>1</v>
      </c>
      <c r="E3082" s="9">
        <f>4.83-0.219</f>
        <v>4.6109999999999998</v>
      </c>
    </row>
    <row r="3083" spans="1:5" x14ac:dyDescent="0.3">
      <c r="A3083" s="8">
        <v>194</v>
      </c>
      <c r="B3083" s="8">
        <v>40</v>
      </c>
      <c r="C3083" s="8">
        <v>20</v>
      </c>
      <c r="D3083" s="8" t="s">
        <v>1</v>
      </c>
      <c r="E3083" s="9">
        <v>5</v>
      </c>
    </row>
    <row r="3084" spans="1:5" x14ac:dyDescent="0.3">
      <c r="A3084" s="10">
        <v>194</v>
      </c>
      <c r="B3084" s="10">
        <v>40</v>
      </c>
      <c r="C3084" s="10" t="s">
        <v>26</v>
      </c>
      <c r="D3084" s="10" t="s">
        <v>64</v>
      </c>
      <c r="E3084" s="15">
        <f>3.56+5.94-0.473-0.533-0.117-0.644-0.087</f>
        <v>7.645999999999999</v>
      </c>
    </row>
    <row r="3085" spans="1:5" x14ac:dyDescent="0.3">
      <c r="A3085" s="8">
        <v>194</v>
      </c>
      <c r="B3085" s="8">
        <v>40</v>
      </c>
      <c r="C3085" s="8">
        <v>35</v>
      </c>
      <c r="D3085" s="8" t="s">
        <v>1</v>
      </c>
      <c r="E3085" s="9">
        <v>5</v>
      </c>
    </row>
    <row r="3086" spans="1:5" x14ac:dyDescent="0.3">
      <c r="A3086" s="10">
        <v>194</v>
      </c>
      <c r="B3086" s="10">
        <v>40</v>
      </c>
      <c r="C3086" s="10">
        <v>45</v>
      </c>
      <c r="D3086" s="10" t="s">
        <v>1</v>
      </c>
      <c r="E3086" s="15">
        <f>2.96-0.932</f>
        <v>2.028</v>
      </c>
    </row>
    <row r="3087" spans="1:5" x14ac:dyDescent="0.3">
      <c r="A3087" s="8">
        <v>194</v>
      </c>
      <c r="B3087" s="8">
        <v>40</v>
      </c>
      <c r="C3087" s="8">
        <v>45</v>
      </c>
      <c r="D3087" s="8" t="s">
        <v>1</v>
      </c>
      <c r="E3087" s="9">
        <v>5</v>
      </c>
    </row>
    <row r="3088" spans="1:5" x14ac:dyDescent="0.3">
      <c r="A3088" s="10">
        <v>194</v>
      </c>
      <c r="B3088" s="10">
        <v>40</v>
      </c>
      <c r="C3088" s="10" t="s">
        <v>28</v>
      </c>
      <c r="D3088" s="10" t="s">
        <v>1</v>
      </c>
      <c r="E3088" s="15">
        <f>2.41+2.385-1.253-1.23-0.236</f>
        <v>2.0759999999999996</v>
      </c>
    </row>
    <row r="3089" spans="1:5" x14ac:dyDescent="0.3">
      <c r="A3089" s="10">
        <v>194</v>
      </c>
      <c r="B3089" s="10">
        <v>40</v>
      </c>
      <c r="C3089" s="10" t="s">
        <v>28</v>
      </c>
      <c r="D3089" s="10" t="s">
        <v>1</v>
      </c>
      <c r="E3089" s="15">
        <f>2.375-0.266+9.63-0.08-0.87-5.435-0.115</f>
        <v>5.2390000000000017</v>
      </c>
    </row>
    <row r="3090" spans="1:5" x14ac:dyDescent="0.3">
      <c r="A3090" s="10">
        <v>194</v>
      </c>
      <c r="B3090" s="10">
        <v>40</v>
      </c>
      <c r="C3090" s="10" t="s">
        <v>30</v>
      </c>
      <c r="D3090" s="10" t="s">
        <v>1</v>
      </c>
      <c r="E3090" s="15">
        <f>5.42-0.387-0.719-0.314-0.243-0.618-0.314-0.188-1.12-0.312-1.119-0.083+0.162</f>
        <v>0.16499999999999898</v>
      </c>
    </row>
    <row r="3091" spans="1:5" x14ac:dyDescent="0.3">
      <c r="A3091" s="10">
        <v>194</v>
      </c>
      <c r="B3091" s="10">
        <v>40</v>
      </c>
      <c r="C3091" s="10" t="s">
        <v>30</v>
      </c>
      <c r="D3091" s="10" t="s">
        <v>1</v>
      </c>
      <c r="E3091" s="15">
        <f>2.16+7.525-1.134-1.103-2.257-0.275-2.211</f>
        <v>2.7050000000000005</v>
      </c>
    </row>
    <row r="3092" spans="1:5" x14ac:dyDescent="0.3">
      <c r="A3092" s="8">
        <v>194</v>
      </c>
      <c r="B3092" s="8">
        <v>45</v>
      </c>
      <c r="C3092" s="8">
        <v>20</v>
      </c>
      <c r="D3092" s="8" t="s">
        <v>1</v>
      </c>
      <c r="E3092" s="9">
        <v>5</v>
      </c>
    </row>
    <row r="3093" spans="1:5" x14ac:dyDescent="0.3">
      <c r="A3093" s="10">
        <v>194</v>
      </c>
      <c r="B3093" s="10">
        <v>45</v>
      </c>
      <c r="C3093" s="10" t="s">
        <v>26</v>
      </c>
      <c r="D3093" s="10" t="s">
        <v>64</v>
      </c>
      <c r="E3093" s="15">
        <f>4.72-0.226</f>
        <v>4.4939999999999998</v>
      </c>
    </row>
    <row r="3094" spans="1:5" x14ac:dyDescent="0.3">
      <c r="A3094" s="10">
        <v>194</v>
      </c>
      <c r="B3094" s="10">
        <v>45</v>
      </c>
      <c r="C3094" s="10">
        <v>35</v>
      </c>
      <c r="D3094" s="10" t="s">
        <v>1</v>
      </c>
      <c r="E3094" s="15">
        <f>4.98-1.24-1.244-0.335-0.911+0.085-0.241-0.456-0.562</f>
        <v>7.600000000000029E-2</v>
      </c>
    </row>
    <row r="3095" spans="1:5" x14ac:dyDescent="0.3">
      <c r="A3095" s="8">
        <v>194</v>
      </c>
      <c r="B3095" s="8">
        <v>45</v>
      </c>
      <c r="C3095" s="8">
        <v>35</v>
      </c>
      <c r="D3095" s="8" t="s">
        <v>1</v>
      </c>
      <c r="E3095" s="9">
        <v>5</v>
      </c>
    </row>
    <row r="3096" spans="1:5" x14ac:dyDescent="0.3">
      <c r="A3096" s="8">
        <v>194</v>
      </c>
      <c r="B3096" s="8">
        <v>45</v>
      </c>
      <c r="C3096" s="8">
        <v>45</v>
      </c>
      <c r="D3096" s="8" t="s">
        <v>1</v>
      </c>
      <c r="E3096" s="9">
        <f>7.105-3.976-0.34-0.236-0.17-0.293-0.79+5.284+0.693-0.049-2.272-0.504-0.251-0.791-0.548-2.598-0.246+0.014</f>
        <v>3.1999999999999792E-2</v>
      </c>
    </row>
    <row r="3097" spans="1:5" x14ac:dyDescent="0.3">
      <c r="A3097" s="8">
        <v>194</v>
      </c>
      <c r="B3097" s="8">
        <v>45</v>
      </c>
      <c r="C3097" s="8">
        <v>45</v>
      </c>
      <c r="D3097" s="8" t="s">
        <v>1</v>
      </c>
      <c r="E3097" s="9">
        <v>5</v>
      </c>
    </row>
    <row r="3098" spans="1:5" x14ac:dyDescent="0.3">
      <c r="A3098" s="10">
        <v>194</v>
      </c>
      <c r="B3098" s="10">
        <v>45</v>
      </c>
      <c r="C3098" s="10" t="s">
        <v>28</v>
      </c>
      <c r="D3098" s="10" t="s">
        <v>1</v>
      </c>
      <c r="E3098" s="15">
        <f>6.37-0.101-0.593-0.474-1.101-0.506-0.099-0.099-1.413+2.41-2.41-0.176-0.224-0.367</f>
        <v>1.2169999999999992</v>
      </c>
    </row>
    <row r="3099" spans="1:5" x14ac:dyDescent="0.3">
      <c r="A3099" s="10">
        <v>194</v>
      </c>
      <c r="B3099" s="10">
        <v>45</v>
      </c>
      <c r="C3099" s="10" t="s">
        <v>28</v>
      </c>
      <c r="D3099" s="10" t="s">
        <v>1</v>
      </c>
      <c r="E3099" s="15">
        <f>3.585+2.415+3.555+2.385+2.41</f>
        <v>14.35</v>
      </c>
    </row>
    <row r="3100" spans="1:5" x14ac:dyDescent="0.3">
      <c r="A3100" s="10">
        <v>194</v>
      </c>
      <c r="B3100" s="10">
        <v>45</v>
      </c>
      <c r="C3100" s="10" t="s">
        <v>28</v>
      </c>
      <c r="D3100" s="10" t="s">
        <v>1</v>
      </c>
      <c r="E3100" s="15">
        <f>7-2.415-3.555</f>
        <v>1.0299999999999998</v>
      </c>
    </row>
    <row r="3101" spans="1:5" x14ac:dyDescent="0.3">
      <c r="A3101" s="10">
        <v>194</v>
      </c>
      <c r="B3101" s="10">
        <v>45</v>
      </c>
      <c r="C3101" s="10" t="s">
        <v>30</v>
      </c>
      <c r="D3101" s="10" t="s">
        <v>1</v>
      </c>
      <c r="E3101" s="15">
        <f>2.4+2.39-0.121-0.121-1.014-1.253-0.676-0.673-0.571-0.306+0.196</f>
        <v>0.25099999999999956</v>
      </c>
    </row>
    <row r="3102" spans="1:5" x14ac:dyDescent="0.3">
      <c r="A3102" s="8">
        <v>194</v>
      </c>
      <c r="B3102" s="8">
        <v>45</v>
      </c>
      <c r="C3102" s="8" t="s">
        <v>30</v>
      </c>
      <c r="D3102" s="8" t="s">
        <v>1</v>
      </c>
      <c r="E3102" s="9">
        <v>8</v>
      </c>
    </row>
    <row r="3103" spans="1:5" x14ac:dyDescent="0.3">
      <c r="A3103" s="8">
        <v>194</v>
      </c>
      <c r="B3103" s="8">
        <v>45</v>
      </c>
      <c r="C3103" s="8" t="s">
        <v>106</v>
      </c>
      <c r="D3103" s="8" t="s">
        <v>1</v>
      </c>
      <c r="E3103" s="9">
        <f>4.875-2.995</f>
        <v>1.88</v>
      </c>
    </row>
    <row r="3104" spans="1:5" x14ac:dyDescent="0.3">
      <c r="A3104" s="10">
        <v>194</v>
      </c>
      <c r="B3104" s="10">
        <v>50</v>
      </c>
      <c r="C3104" s="10">
        <v>20</v>
      </c>
      <c r="D3104" s="10" t="s">
        <v>1</v>
      </c>
      <c r="E3104" s="15">
        <f>5.323-0.041-0.134-0.105-0.159-0.203-0.187-1.03-0.102-0.1-0.105-0.104-0.104-0.104-1.081-0.045-0.464-0.33-0.804</f>
        <v>0.12099999999999844</v>
      </c>
    </row>
    <row r="3105" spans="1:5" x14ac:dyDescent="0.3">
      <c r="A3105" s="8">
        <v>194</v>
      </c>
      <c r="B3105" s="8">
        <v>50</v>
      </c>
      <c r="C3105" s="8">
        <v>20</v>
      </c>
      <c r="D3105" s="8" t="s">
        <v>1</v>
      </c>
      <c r="E3105" s="9">
        <v>5</v>
      </c>
    </row>
    <row r="3106" spans="1:5" x14ac:dyDescent="0.3">
      <c r="A3106" s="10">
        <v>194</v>
      </c>
      <c r="B3106" s="10">
        <v>50</v>
      </c>
      <c r="C3106" s="10" t="s">
        <v>26</v>
      </c>
      <c r="D3106" s="10" t="s">
        <v>64</v>
      </c>
      <c r="E3106" s="15">
        <f>4.623+6.644-1.166+2.71-0.101-0.113-1.082</f>
        <v>11.514999999999999</v>
      </c>
    </row>
    <row r="3107" spans="1:5" x14ac:dyDescent="0.3">
      <c r="A3107" s="10">
        <v>194</v>
      </c>
      <c r="B3107" s="10">
        <v>50</v>
      </c>
      <c r="C3107" s="10">
        <v>35</v>
      </c>
      <c r="D3107" s="10" t="s">
        <v>1</v>
      </c>
      <c r="E3107" s="15">
        <f>5.01-1.261-0.428-0.115-0.215-0.396-1.25</f>
        <v>1.3449999999999998</v>
      </c>
    </row>
    <row r="3108" spans="1:5" x14ac:dyDescent="0.3">
      <c r="A3108" s="8">
        <v>194</v>
      </c>
      <c r="B3108" s="8">
        <v>50</v>
      </c>
      <c r="C3108" s="8">
        <v>35</v>
      </c>
      <c r="D3108" s="8" t="s">
        <v>1</v>
      </c>
      <c r="E3108" s="9">
        <v>5</v>
      </c>
    </row>
    <row r="3109" spans="1:5" x14ac:dyDescent="0.3">
      <c r="A3109" s="8">
        <v>194</v>
      </c>
      <c r="B3109" s="8">
        <v>50</v>
      </c>
      <c r="C3109" s="8">
        <v>45</v>
      </c>
      <c r="D3109" s="8" t="s">
        <v>1</v>
      </c>
      <c r="E3109" s="9">
        <v>5</v>
      </c>
    </row>
    <row r="3110" spans="1:5" x14ac:dyDescent="0.3">
      <c r="A3110" s="10">
        <v>194</v>
      </c>
      <c r="B3110" s="10">
        <v>50</v>
      </c>
      <c r="C3110" s="10" t="s">
        <v>28</v>
      </c>
      <c r="D3110" s="10" t="s">
        <v>64</v>
      </c>
      <c r="E3110" s="15">
        <f>6.13-0.92-1.09-0.312-0.733+3.723-0.64+2.335-0.237-0.523-4.812</f>
        <v>2.9210000000000003</v>
      </c>
    </row>
    <row r="3111" spans="1:5" x14ac:dyDescent="0.3">
      <c r="A3111" s="10">
        <v>194</v>
      </c>
      <c r="B3111" s="10">
        <v>50</v>
      </c>
      <c r="C3111" s="10" t="s">
        <v>28</v>
      </c>
      <c r="D3111" s="10" t="s">
        <v>64</v>
      </c>
      <c r="E3111" s="15">
        <v>4.8120000000000003</v>
      </c>
    </row>
    <row r="3112" spans="1:5" x14ac:dyDescent="0.3">
      <c r="A3112" s="10">
        <v>194</v>
      </c>
      <c r="B3112" s="10">
        <v>50</v>
      </c>
      <c r="C3112" s="10" t="s">
        <v>30</v>
      </c>
      <c r="D3112" s="10" t="s">
        <v>1</v>
      </c>
      <c r="E3112" s="15">
        <f>5.042-1.256-2.53-0.534-0.534</f>
        <v>0.18799999999999972</v>
      </c>
    </row>
    <row r="3113" spans="1:5" x14ac:dyDescent="0.3">
      <c r="A3113" s="10">
        <v>194</v>
      </c>
      <c r="B3113" s="10">
        <v>50</v>
      </c>
      <c r="C3113" s="10" t="s">
        <v>30</v>
      </c>
      <c r="D3113" s="10" t="s">
        <v>1</v>
      </c>
      <c r="E3113" s="15">
        <f>3.6-0.216+2.385</f>
        <v>5.7690000000000001</v>
      </c>
    </row>
    <row r="3114" spans="1:5" x14ac:dyDescent="0.3">
      <c r="A3114" s="10">
        <v>194</v>
      </c>
      <c r="B3114" s="10">
        <v>50</v>
      </c>
      <c r="C3114" s="10" t="s">
        <v>106</v>
      </c>
      <c r="D3114" s="10" t="s">
        <v>1</v>
      </c>
      <c r="E3114" s="15">
        <f>4.36+0.995-4.36</f>
        <v>0.99500000000000011</v>
      </c>
    </row>
    <row r="3115" spans="1:5" x14ac:dyDescent="0.3">
      <c r="A3115" s="10">
        <v>194</v>
      </c>
      <c r="B3115" s="10">
        <v>50</v>
      </c>
      <c r="C3115" s="10" t="s">
        <v>106</v>
      </c>
      <c r="D3115" s="10" t="s">
        <v>1</v>
      </c>
      <c r="E3115" s="15">
        <v>4.3600000000000003</v>
      </c>
    </row>
    <row r="3116" spans="1:5" x14ac:dyDescent="0.3">
      <c r="A3116" s="8">
        <v>194</v>
      </c>
      <c r="B3116" s="8">
        <v>60</v>
      </c>
      <c r="C3116" s="8">
        <v>20</v>
      </c>
      <c r="D3116" s="8" t="s">
        <v>1</v>
      </c>
      <c r="E3116" s="9">
        <v>5</v>
      </c>
    </row>
    <row r="3117" spans="1:5" x14ac:dyDescent="0.3">
      <c r="A3117" s="10">
        <v>193.7</v>
      </c>
      <c r="B3117" s="10">
        <v>60</v>
      </c>
      <c r="C3117" s="10" t="s">
        <v>26</v>
      </c>
      <c r="D3117" s="10" t="s">
        <v>64</v>
      </c>
      <c r="E3117" s="15">
        <f>1.614-0.623-0.145+3.899+0.992-1.014-0.109-0.105-0.978-0.992-1.571</f>
        <v>0.96799999999999975</v>
      </c>
    </row>
    <row r="3118" spans="1:5" x14ac:dyDescent="0.3">
      <c r="A3118" s="8">
        <v>194</v>
      </c>
      <c r="B3118" s="8">
        <v>60</v>
      </c>
      <c r="C3118" s="8" t="s">
        <v>30</v>
      </c>
      <c r="D3118" s="8" t="s">
        <v>1</v>
      </c>
      <c r="E3118" s="9">
        <v>5</v>
      </c>
    </row>
    <row r="3119" spans="1:5" x14ac:dyDescent="0.3">
      <c r="A3119" s="8">
        <v>196</v>
      </c>
      <c r="B3119" s="8">
        <v>24</v>
      </c>
      <c r="C3119" s="8" t="s">
        <v>42</v>
      </c>
      <c r="D3119" s="8" t="s">
        <v>1</v>
      </c>
      <c r="E3119" s="9">
        <f>13.377-0.109-0.274-0.615+0.615-0.215-0.38</f>
        <v>12.398999999999999</v>
      </c>
    </row>
    <row r="3120" spans="1:5" x14ac:dyDescent="0.3">
      <c r="A3120" s="13">
        <v>196</v>
      </c>
      <c r="B3120" s="13">
        <v>25</v>
      </c>
      <c r="C3120" s="13">
        <v>10</v>
      </c>
      <c r="D3120" s="13" t="s">
        <v>1</v>
      </c>
      <c r="E3120" s="16">
        <f>0.62+2.292-0.06-0.11-0.043-0.111-0.13-0.228</f>
        <v>2.2299999999999995</v>
      </c>
    </row>
    <row r="3121" spans="1:5" x14ac:dyDescent="0.3">
      <c r="A3121" s="10">
        <v>198</v>
      </c>
      <c r="B3121" s="10">
        <v>19</v>
      </c>
      <c r="C3121" s="10">
        <v>20</v>
      </c>
      <c r="D3121" s="10" t="s">
        <v>15</v>
      </c>
      <c r="E3121" s="15">
        <f>3.898-0.552-0.089-0.173-0.296-0.045-0.089-0.059</f>
        <v>2.5950000000000002</v>
      </c>
    </row>
    <row r="3122" spans="1:5" x14ac:dyDescent="0.3">
      <c r="A3122" s="10">
        <v>198</v>
      </c>
      <c r="B3122" s="10">
        <v>20</v>
      </c>
      <c r="C3122" s="10">
        <v>20</v>
      </c>
      <c r="D3122" s="10" t="s">
        <v>1</v>
      </c>
      <c r="E3122" s="15">
        <v>0.32</v>
      </c>
    </row>
    <row r="3123" spans="1:5" x14ac:dyDescent="0.3">
      <c r="A3123" s="13">
        <v>198</v>
      </c>
      <c r="B3123" s="13">
        <v>24</v>
      </c>
      <c r="C3123" s="13" t="s">
        <v>42</v>
      </c>
      <c r="D3123" s="13" t="s">
        <v>1</v>
      </c>
      <c r="E3123" s="16">
        <f>0.68+2.278</f>
        <v>2.9580000000000002</v>
      </c>
    </row>
    <row r="3124" spans="1:5" x14ac:dyDescent="0.3">
      <c r="A3124" s="8">
        <v>203</v>
      </c>
      <c r="B3124" s="8">
        <v>6</v>
      </c>
      <c r="C3124" s="8">
        <v>20</v>
      </c>
      <c r="D3124" s="8" t="s">
        <v>1</v>
      </c>
      <c r="E3124" s="9">
        <v>5</v>
      </c>
    </row>
    <row r="3125" spans="1:5" x14ac:dyDescent="0.3">
      <c r="A3125" s="10">
        <v>203</v>
      </c>
      <c r="B3125" s="10">
        <v>7</v>
      </c>
      <c r="C3125" s="10" t="s">
        <v>96</v>
      </c>
      <c r="D3125" s="10" t="s">
        <v>133</v>
      </c>
      <c r="E3125" s="15">
        <f>13.366+0.157+0.151-0.037-0.108-0.073-0.355-0.212-0.011-0.02-0.051-0.072-0.073-0.211-0.073</f>
        <v>12.377999999999998</v>
      </c>
    </row>
    <row r="3126" spans="1:5" x14ac:dyDescent="0.3">
      <c r="A3126" s="8">
        <v>203</v>
      </c>
      <c r="B3126" s="8">
        <v>8</v>
      </c>
      <c r="C3126" s="8">
        <v>20</v>
      </c>
      <c r="D3126" s="8" t="s">
        <v>1</v>
      </c>
      <c r="E3126" s="9">
        <v>5</v>
      </c>
    </row>
    <row r="3127" spans="1:5" x14ac:dyDescent="0.3">
      <c r="A3127" s="10">
        <v>203</v>
      </c>
      <c r="B3127" s="10">
        <v>8</v>
      </c>
      <c r="C3127" s="10" t="s">
        <v>26</v>
      </c>
      <c r="D3127" s="10" t="s">
        <v>64</v>
      </c>
      <c r="E3127" s="15">
        <v>2</v>
      </c>
    </row>
    <row r="3128" spans="1:5" x14ac:dyDescent="0.3">
      <c r="A3128" s="8">
        <v>203</v>
      </c>
      <c r="B3128" s="8">
        <v>8</v>
      </c>
      <c r="C3128" s="8" t="s">
        <v>26</v>
      </c>
      <c r="D3128" s="8" t="s">
        <v>64</v>
      </c>
      <c r="E3128" s="9">
        <f>7-2</f>
        <v>5</v>
      </c>
    </row>
    <row r="3129" spans="1:5" x14ac:dyDescent="0.3">
      <c r="A3129" s="8">
        <v>203</v>
      </c>
      <c r="B3129" s="8">
        <v>10</v>
      </c>
      <c r="C3129" s="8">
        <v>20</v>
      </c>
      <c r="D3129" s="8" t="s">
        <v>1</v>
      </c>
      <c r="E3129" s="9">
        <v>5</v>
      </c>
    </row>
    <row r="3130" spans="1:5" x14ac:dyDescent="0.3">
      <c r="A3130" s="10">
        <v>203</v>
      </c>
      <c r="B3130" s="10">
        <v>10</v>
      </c>
      <c r="C3130" s="10" t="s">
        <v>26</v>
      </c>
      <c r="D3130" s="10" t="s">
        <v>64</v>
      </c>
      <c r="E3130" s="15">
        <f>5.08-0.077-0.02-0.053-0.136-0.201-0.037-0.102-0.105-0.198-0.053+5.4-0.545-0.052-0.028-0.127-0.102-2.53-0.102-0.031-0.066-0.016-0.053-1.386-0.053-0.023-0.076-0.492-0.053-0.102-0.053-0.205-0.27-0.205-0.101-0.3-0.928-0.3-0.445-0.152-0.175-0.052-0.467+0.179-0.077-0.013+5.15-0.053-0.111-0.032-0.347-0.032-0.048-0.931-0.129-0.013-0.301-2.219</f>
        <v>1.0310000000000024</v>
      </c>
    </row>
    <row r="3131" spans="1:5" x14ac:dyDescent="0.3">
      <c r="A3131" s="10">
        <v>203</v>
      </c>
      <c r="B3131" s="10">
        <v>11</v>
      </c>
      <c r="C3131" s="10" t="s">
        <v>30</v>
      </c>
      <c r="D3131" s="10" t="s">
        <v>1</v>
      </c>
      <c r="E3131" s="15">
        <f>4.939-0.106-0.386-0.056-0.785-0.201-0.217-0.109</f>
        <v>3.0789999999999997</v>
      </c>
    </row>
    <row r="3132" spans="1:5" x14ac:dyDescent="0.3">
      <c r="A3132" s="8">
        <v>203</v>
      </c>
      <c r="B3132" s="8">
        <v>12</v>
      </c>
      <c r="C3132" s="8">
        <v>20</v>
      </c>
      <c r="D3132" s="8" t="s">
        <v>1</v>
      </c>
      <c r="E3132" s="9">
        <v>5</v>
      </c>
    </row>
    <row r="3133" spans="1:5" x14ac:dyDescent="0.3">
      <c r="A3133" s="8">
        <v>203</v>
      </c>
      <c r="B3133" s="8">
        <v>12</v>
      </c>
      <c r="C3133" s="8" t="s">
        <v>26</v>
      </c>
      <c r="D3133" s="8" t="s">
        <v>64</v>
      </c>
      <c r="E3133" s="9">
        <f>6.57-0.061-0.027-0.048-0.119+1.054-0.062-0.249-2.4-0.022-0.089-0.071-0.204-0.061-0.148-0.585-0.453-0.161-0.05-0.089-0.091-0.177-0.123</f>
        <v>2.3340000000000014</v>
      </c>
    </row>
    <row r="3134" spans="1:5" x14ac:dyDescent="0.3">
      <c r="A3134" s="8">
        <v>203</v>
      </c>
      <c r="B3134" s="8">
        <v>12</v>
      </c>
      <c r="C3134" s="8" t="s">
        <v>28</v>
      </c>
      <c r="D3134" s="8" t="s">
        <v>1</v>
      </c>
      <c r="E3134" s="9">
        <f>5.62+1.76-1.16-0.032-0.173-0.089-0.032-1.185-0.089-0.578-2.313</f>
        <v>1.7289999999999988</v>
      </c>
    </row>
    <row r="3135" spans="1:5" x14ac:dyDescent="0.3">
      <c r="A3135" s="10">
        <v>203</v>
      </c>
      <c r="B3135" s="10">
        <v>12</v>
      </c>
      <c r="C3135" s="10" t="s">
        <v>30</v>
      </c>
      <c r="D3135" s="10" t="s">
        <v>1</v>
      </c>
      <c r="E3135" s="15">
        <f>5.34-0.015</f>
        <v>5.3250000000000002</v>
      </c>
    </row>
    <row r="3136" spans="1:5" x14ac:dyDescent="0.3">
      <c r="A3136" s="8">
        <v>203</v>
      </c>
      <c r="B3136" s="8">
        <v>14</v>
      </c>
      <c r="C3136" s="8">
        <v>20</v>
      </c>
      <c r="D3136" s="8" t="s">
        <v>1</v>
      </c>
      <c r="E3136" s="9">
        <v>5</v>
      </c>
    </row>
    <row r="3137" spans="1:5" x14ac:dyDescent="0.3">
      <c r="A3137" s="8">
        <v>203</v>
      </c>
      <c r="B3137" s="8">
        <v>14</v>
      </c>
      <c r="C3137" s="8" t="s">
        <v>26</v>
      </c>
      <c r="D3137" s="8" t="s">
        <v>64</v>
      </c>
      <c r="E3137" s="9">
        <f>4.43-0.087-0.031-0.165-0.219-0.236-0.216-0.036-0.275-0.036-0.14-0.058-0.244</f>
        <v>2.6870000000000003</v>
      </c>
    </row>
    <row r="3138" spans="1:5" x14ac:dyDescent="0.3">
      <c r="A3138" s="10">
        <v>203</v>
      </c>
      <c r="B3138" s="10">
        <v>14</v>
      </c>
      <c r="C3138" s="10" t="s">
        <v>28</v>
      </c>
      <c r="D3138" s="10" t="s">
        <v>1</v>
      </c>
      <c r="E3138" s="15">
        <f>5.45-0.051-0.137-0.071-0.184-4.716</f>
        <v>0.29100000000000037</v>
      </c>
    </row>
    <row r="3139" spans="1:5" x14ac:dyDescent="0.3">
      <c r="A3139" s="10">
        <v>203</v>
      </c>
      <c r="B3139" s="10">
        <v>14</v>
      </c>
      <c r="C3139" s="10" t="s">
        <v>28</v>
      </c>
      <c r="D3139" s="10" t="s">
        <v>1</v>
      </c>
      <c r="E3139" s="15">
        <v>4.7160000000000002</v>
      </c>
    </row>
    <row r="3140" spans="1:5" x14ac:dyDescent="0.3">
      <c r="A3140" s="8">
        <v>203</v>
      </c>
      <c r="B3140" s="8">
        <v>14</v>
      </c>
      <c r="C3140" s="8" t="s">
        <v>30</v>
      </c>
      <c r="D3140" s="8" t="s">
        <v>1</v>
      </c>
      <c r="E3140" s="9">
        <v>5</v>
      </c>
    </row>
    <row r="3141" spans="1:5" x14ac:dyDescent="0.3">
      <c r="A3141" s="8">
        <v>203</v>
      </c>
      <c r="B3141" s="8">
        <v>16</v>
      </c>
      <c r="C3141" s="8">
        <v>20</v>
      </c>
      <c r="D3141" s="8" t="s">
        <v>1</v>
      </c>
      <c r="E3141" s="9">
        <v>5</v>
      </c>
    </row>
    <row r="3142" spans="1:5" x14ac:dyDescent="0.3">
      <c r="A3142" s="8">
        <v>203</v>
      </c>
      <c r="B3142" s="8">
        <v>16</v>
      </c>
      <c r="C3142" s="8" t="s">
        <v>26</v>
      </c>
      <c r="D3142" s="8" t="s">
        <v>64</v>
      </c>
      <c r="E3142" s="9">
        <f>11.39+2.88-1.433-0.041-0.116-0.345-0.231-0.724-0.728-0.216-0.114-0.118-0.193-0.048-0.657-0.054-1.404-1.447-0.067-1.468-0.071-0.064-0.118-0.196-0.012</f>
        <v>4.4049999999999994</v>
      </c>
    </row>
    <row r="3143" spans="1:5" x14ac:dyDescent="0.3">
      <c r="A3143" s="8">
        <v>203</v>
      </c>
      <c r="B3143" s="8">
        <v>16</v>
      </c>
      <c r="C3143" s="8">
        <v>35</v>
      </c>
      <c r="D3143" s="8" t="s">
        <v>1</v>
      </c>
      <c r="E3143" s="9">
        <v>5</v>
      </c>
    </row>
    <row r="3144" spans="1:5" x14ac:dyDescent="0.3">
      <c r="A3144" s="8">
        <v>203</v>
      </c>
      <c r="B3144" s="8">
        <v>16</v>
      </c>
      <c r="C3144" s="8">
        <v>45</v>
      </c>
      <c r="D3144" s="8" t="s">
        <v>1</v>
      </c>
      <c r="E3144" s="9">
        <v>5</v>
      </c>
    </row>
    <row r="3145" spans="1:5" x14ac:dyDescent="0.3">
      <c r="A3145" s="8">
        <v>203</v>
      </c>
      <c r="B3145" s="8">
        <v>16</v>
      </c>
      <c r="C3145" s="10" t="s">
        <v>146</v>
      </c>
      <c r="D3145" s="10" t="s">
        <v>92</v>
      </c>
      <c r="E3145" s="9">
        <f>0.753-0.096</f>
        <v>0.65700000000000003</v>
      </c>
    </row>
    <row r="3146" spans="1:5" x14ac:dyDescent="0.3">
      <c r="A3146" s="8">
        <v>203</v>
      </c>
      <c r="B3146" s="8">
        <v>16</v>
      </c>
      <c r="C3146" s="8" t="s">
        <v>28</v>
      </c>
      <c r="D3146" s="8" t="s">
        <v>1</v>
      </c>
      <c r="E3146" s="9">
        <f>5.41-1.373-0.078-0.059-3.335-0.187-0.304+0.129-0.074</f>
        <v>0.12899999999999995</v>
      </c>
    </row>
    <row r="3147" spans="1:5" x14ac:dyDescent="0.3">
      <c r="A3147" s="10">
        <v>203</v>
      </c>
      <c r="B3147" s="10">
        <v>16</v>
      </c>
      <c r="C3147" s="10" t="s">
        <v>28</v>
      </c>
      <c r="D3147" s="10" t="s">
        <v>1</v>
      </c>
      <c r="E3147" s="15">
        <f>1.84+2.44+2.43+0.615+2.16-0.474+1.04</f>
        <v>10.051000000000002</v>
      </c>
    </row>
    <row r="3148" spans="1:5" x14ac:dyDescent="0.3">
      <c r="A3148" s="8">
        <v>203</v>
      </c>
      <c r="B3148" s="8">
        <v>16</v>
      </c>
      <c r="C3148" s="8" t="s">
        <v>30</v>
      </c>
      <c r="D3148" s="8" t="s">
        <v>1</v>
      </c>
      <c r="E3148" s="9">
        <f>6.08-2.311-0.219-0.042-0.152-0.154-0.187-0.303-0.303-2.325+0.076-0.092-0.04</f>
        <v>2.8000000000000531E-2</v>
      </c>
    </row>
    <row r="3149" spans="1:5" x14ac:dyDescent="0.3">
      <c r="A3149" s="8">
        <v>203</v>
      </c>
      <c r="B3149" s="8">
        <v>16</v>
      </c>
      <c r="C3149" s="8" t="s">
        <v>30</v>
      </c>
      <c r="D3149" s="8" t="s">
        <v>1</v>
      </c>
      <c r="E3149" s="9">
        <f>2.325-0.304+4.18</f>
        <v>6.2010000000000005</v>
      </c>
    </row>
    <row r="3150" spans="1:5" x14ac:dyDescent="0.3">
      <c r="A3150" s="8">
        <v>203</v>
      </c>
      <c r="B3150" s="8">
        <v>18</v>
      </c>
      <c r="C3150" s="8">
        <v>20</v>
      </c>
      <c r="D3150" s="8" t="s">
        <v>1</v>
      </c>
      <c r="E3150" s="9">
        <v>5</v>
      </c>
    </row>
    <row r="3151" spans="1:5" x14ac:dyDescent="0.3">
      <c r="A3151" s="10">
        <v>203</v>
      </c>
      <c r="B3151" s="10">
        <v>18</v>
      </c>
      <c r="C3151" s="10" t="s">
        <v>28</v>
      </c>
      <c r="D3151" s="10" t="s">
        <v>1</v>
      </c>
      <c r="E3151" s="15">
        <f>2.72-0.072-0.087-0.035-0.512</f>
        <v>2.0139999999999998</v>
      </c>
    </row>
    <row r="3152" spans="1:5" x14ac:dyDescent="0.3">
      <c r="A3152" s="10">
        <v>203</v>
      </c>
      <c r="B3152" s="10">
        <v>18</v>
      </c>
      <c r="C3152" s="10" t="s">
        <v>28</v>
      </c>
      <c r="D3152" s="10" t="s">
        <v>1</v>
      </c>
      <c r="E3152" s="15">
        <v>1.3</v>
      </c>
    </row>
    <row r="3153" spans="1:5" x14ac:dyDescent="0.3">
      <c r="A3153" s="8">
        <v>203</v>
      </c>
      <c r="B3153" s="8">
        <v>18</v>
      </c>
      <c r="C3153" s="8" t="s">
        <v>30</v>
      </c>
      <c r="D3153" s="8" t="s">
        <v>1</v>
      </c>
      <c r="E3153" s="9">
        <f>1.18-0.513</f>
        <v>0.66699999999999993</v>
      </c>
    </row>
    <row r="3154" spans="1:5" x14ac:dyDescent="0.3">
      <c r="A3154" s="8">
        <v>203</v>
      </c>
      <c r="B3154" s="8">
        <v>18</v>
      </c>
      <c r="C3154" s="8" t="s">
        <v>30</v>
      </c>
      <c r="D3154" s="8" t="s">
        <v>1</v>
      </c>
      <c r="E3154" s="9">
        <v>5</v>
      </c>
    </row>
    <row r="3155" spans="1:5" x14ac:dyDescent="0.3">
      <c r="A3155" s="8">
        <v>203</v>
      </c>
      <c r="B3155" s="8">
        <v>20</v>
      </c>
      <c r="C3155" s="8">
        <v>20</v>
      </c>
      <c r="D3155" s="8" t="s">
        <v>1</v>
      </c>
      <c r="E3155" s="9">
        <v>5</v>
      </c>
    </row>
    <row r="3156" spans="1:5" x14ac:dyDescent="0.3">
      <c r="A3156" s="8">
        <v>203</v>
      </c>
      <c r="B3156" s="8">
        <v>20</v>
      </c>
      <c r="C3156" s="8" t="s">
        <v>26</v>
      </c>
      <c r="D3156" s="8" t="s">
        <v>64</v>
      </c>
      <c r="E3156" s="9">
        <f>10.42+2.315-0.788-1.573-2.114+1.465-0.077-0.018-1.045-1.366-0.607</f>
        <v>6.6119999999999974</v>
      </c>
    </row>
    <row r="3157" spans="1:5" x14ac:dyDescent="0.3">
      <c r="A3157" s="8">
        <v>203</v>
      </c>
      <c r="B3157" s="8">
        <v>20</v>
      </c>
      <c r="C3157" s="8">
        <v>35</v>
      </c>
      <c r="D3157" s="8" t="s">
        <v>1</v>
      </c>
      <c r="E3157" s="9">
        <v>5</v>
      </c>
    </row>
    <row r="3158" spans="1:5" x14ac:dyDescent="0.3">
      <c r="A3158" s="10">
        <v>203</v>
      </c>
      <c r="B3158" s="10">
        <v>20</v>
      </c>
      <c r="C3158" s="10">
        <v>45</v>
      </c>
      <c r="D3158" s="10" t="s">
        <v>1</v>
      </c>
      <c r="E3158" s="15">
        <f>0.834+0.839-0.037-0.164-0.28</f>
        <v>1.1920000000000002</v>
      </c>
    </row>
    <row r="3159" spans="1:5" x14ac:dyDescent="0.3">
      <c r="A3159" s="8">
        <v>203</v>
      </c>
      <c r="B3159" s="8">
        <v>20</v>
      </c>
      <c r="C3159" s="8" t="s">
        <v>28</v>
      </c>
      <c r="D3159" s="8" t="s">
        <v>1</v>
      </c>
      <c r="E3159" s="9">
        <f>8.75+1.62-4.174-1.62-0.798-0.033-0.847-0.408</f>
        <v>2.4900000000000007</v>
      </c>
    </row>
    <row r="3160" spans="1:5" x14ac:dyDescent="0.3">
      <c r="A3160" s="8">
        <v>203</v>
      </c>
      <c r="B3160" s="8">
        <v>20</v>
      </c>
      <c r="C3160" s="8" t="s">
        <v>28</v>
      </c>
      <c r="D3160" s="8" t="s">
        <v>1</v>
      </c>
      <c r="E3160" s="9">
        <f>4.174+1.62</f>
        <v>5.7940000000000005</v>
      </c>
    </row>
    <row r="3161" spans="1:5" x14ac:dyDescent="0.3">
      <c r="A3161" s="8">
        <v>203</v>
      </c>
      <c r="B3161" s="8">
        <v>20</v>
      </c>
      <c r="C3161" s="8" t="s">
        <v>30</v>
      </c>
      <c r="D3161" s="8" t="s">
        <v>1</v>
      </c>
      <c r="E3161" s="9">
        <v>5</v>
      </c>
    </row>
    <row r="3162" spans="1:5" x14ac:dyDescent="0.3">
      <c r="A3162" s="8">
        <v>203</v>
      </c>
      <c r="B3162" s="8">
        <v>22</v>
      </c>
      <c r="C3162" s="8">
        <v>20</v>
      </c>
      <c r="D3162" s="8" t="s">
        <v>1</v>
      </c>
      <c r="E3162" s="9">
        <v>5</v>
      </c>
    </row>
    <row r="3163" spans="1:5" x14ac:dyDescent="0.3">
      <c r="A3163" s="8">
        <v>203</v>
      </c>
      <c r="B3163" s="8">
        <v>22</v>
      </c>
      <c r="C3163" s="8" t="s">
        <v>26</v>
      </c>
      <c r="D3163" s="8" t="s">
        <v>64</v>
      </c>
      <c r="E3163" s="9">
        <f>2.73-0.875+3.65-0.995-0.102-0.539</f>
        <v>3.8689999999999993</v>
      </c>
    </row>
    <row r="3164" spans="1:5" x14ac:dyDescent="0.3">
      <c r="A3164" s="8">
        <v>203</v>
      </c>
      <c r="B3164" s="8">
        <v>22</v>
      </c>
      <c r="C3164" s="8">
        <v>45</v>
      </c>
      <c r="D3164" s="8" t="s">
        <v>1</v>
      </c>
      <c r="E3164" s="9">
        <v>5</v>
      </c>
    </row>
    <row r="3165" spans="1:5" x14ac:dyDescent="0.3">
      <c r="A3165" s="10">
        <v>203</v>
      </c>
      <c r="B3165" s="10">
        <v>22</v>
      </c>
      <c r="C3165" s="10" t="s">
        <v>36</v>
      </c>
      <c r="D3165" s="10" t="s">
        <v>1</v>
      </c>
      <c r="E3165" s="15">
        <f>4.967-0.102-4.146</f>
        <v>0.71899999999999942</v>
      </c>
    </row>
    <row r="3166" spans="1:5" x14ac:dyDescent="0.3">
      <c r="A3166" s="10">
        <v>203</v>
      </c>
      <c r="B3166" s="10">
        <v>22</v>
      </c>
      <c r="C3166" s="10" t="s">
        <v>36</v>
      </c>
      <c r="D3166" s="10" t="s">
        <v>1</v>
      </c>
      <c r="E3166" s="15">
        <v>4.1459999999999999</v>
      </c>
    </row>
    <row r="3167" spans="1:5" x14ac:dyDescent="0.3">
      <c r="A3167" s="10">
        <v>203</v>
      </c>
      <c r="B3167" s="10">
        <v>22</v>
      </c>
      <c r="C3167" s="10" t="s">
        <v>28</v>
      </c>
      <c r="D3167" s="10" t="s">
        <v>1</v>
      </c>
      <c r="E3167" s="15">
        <f>2.605-0.084</f>
        <v>2.5209999999999999</v>
      </c>
    </row>
    <row r="3168" spans="1:5" x14ac:dyDescent="0.3">
      <c r="A3168" s="10">
        <v>203</v>
      </c>
      <c r="B3168" s="10">
        <v>22</v>
      </c>
      <c r="C3168" s="10" t="s">
        <v>28</v>
      </c>
      <c r="D3168" s="10" t="s">
        <v>1</v>
      </c>
      <c r="E3168" s="15">
        <f>2.63+0.84+2.65+2.625</f>
        <v>8.7449999999999992</v>
      </c>
    </row>
    <row r="3169" spans="1:5" x14ac:dyDescent="0.3">
      <c r="A3169" s="10">
        <v>203</v>
      </c>
      <c r="B3169" s="10">
        <v>22</v>
      </c>
      <c r="C3169" s="10" t="s">
        <v>30</v>
      </c>
      <c r="D3169" s="10" t="s">
        <v>1</v>
      </c>
      <c r="E3169" s="15">
        <f>10.833-1.046-0.318-0.565-0.22-0.125-0.54-0.42-0.519+0.002-0.523-0.102-1.097-0.018-0.424-0.549-2.187-0.203-0.546-0.065-0.066-0.042-1.107-0.014+3.21+2.45-0.066-1.655-0.081-3.265</f>
        <v>0.73200000000000109</v>
      </c>
    </row>
    <row r="3170" spans="1:5" x14ac:dyDescent="0.3">
      <c r="A3170" s="8">
        <v>203</v>
      </c>
      <c r="B3170" s="8">
        <v>22</v>
      </c>
      <c r="C3170" s="8" t="s">
        <v>30</v>
      </c>
      <c r="D3170" s="8" t="s">
        <v>1</v>
      </c>
      <c r="E3170" s="9">
        <v>3.2650000000000001</v>
      </c>
    </row>
    <row r="3171" spans="1:5" x14ac:dyDescent="0.3">
      <c r="A3171" s="8">
        <v>203</v>
      </c>
      <c r="B3171" s="8">
        <v>25</v>
      </c>
      <c r="C3171" s="8">
        <v>20</v>
      </c>
      <c r="D3171" s="8" t="s">
        <v>1</v>
      </c>
      <c r="E3171" s="9">
        <v>5</v>
      </c>
    </row>
    <row r="3172" spans="1:5" x14ac:dyDescent="0.3">
      <c r="A3172" s="8">
        <v>203</v>
      </c>
      <c r="B3172" s="8">
        <v>25</v>
      </c>
      <c r="C3172" s="8" t="s">
        <v>26</v>
      </c>
      <c r="D3172" s="8" t="s">
        <v>64</v>
      </c>
      <c r="E3172" s="9">
        <f>1.88+3.63</f>
        <v>5.51</v>
      </c>
    </row>
    <row r="3173" spans="1:5" x14ac:dyDescent="0.3">
      <c r="A3173" s="10">
        <v>203</v>
      </c>
      <c r="B3173" s="10">
        <v>25</v>
      </c>
      <c r="C3173" s="10">
        <v>35</v>
      </c>
      <c r="D3173" s="10" t="s">
        <v>1</v>
      </c>
      <c r="E3173" s="15">
        <f>8.74-0.81-0.231-0.045-0.044-0.322-0.288-0.799-0.231-0.799-0.268</f>
        <v>4.9029999999999996</v>
      </c>
    </row>
    <row r="3174" spans="1:5" x14ac:dyDescent="0.3">
      <c r="A3174" s="10">
        <v>203</v>
      </c>
      <c r="B3174" s="10">
        <v>25</v>
      </c>
      <c r="C3174" s="10">
        <v>35</v>
      </c>
      <c r="D3174" s="10" t="s">
        <v>1</v>
      </c>
      <c r="E3174" s="15">
        <f>10-8.74</f>
        <v>1.2599999999999998</v>
      </c>
    </row>
    <row r="3175" spans="1:5" x14ac:dyDescent="0.3">
      <c r="A3175" s="8">
        <v>203</v>
      </c>
      <c r="B3175" s="8">
        <v>25</v>
      </c>
      <c r="C3175" s="8">
        <v>45</v>
      </c>
      <c r="D3175" s="8" t="s">
        <v>1</v>
      </c>
      <c r="E3175" s="9">
        <v>5</v>
      </c>
    </row>
    <row r="3176" spans="1:5" x14ac:dyDescent="0.3">
      <c r="A3176" s="10">
        <v>203</v>
      </c>
      <c r="B3176" s="10">
        <v>25</v>
      </c>
      <c r="C3176" s="10" t="s">
        <v>28</v>
      </c>
      <c r="D3176" s="10" t="s">
        <v>1</v>
      </c>
      <c r="E3176" s="15">
        <f>9.38+0.8-1.429-0.084-0.726-0.821-2.466-0.831-0.475-0.342-0.831-1.64-0.026-0.282-0.05-0.018</f>
        <v>0.15900000000000172</v>
      </c>
    </row>
    <row r="3177" spans="1:5" x14ac:dyDescent="0.3">
      <c r="A3177" s="10">
        <v>203</v>
      </c>
      <c r="B3177" s="10">
        <v>25</v>
      </c>
      <c r="C3177" s="10" t="s">
        <v>28</v>
      </c>
      <c r="D3177" s="10" t="s">
        <v>1</v>
      </c>
      <c r="E3177" s="15">
        <f>2.62+2.625+1.75</f>
        <v>6.9950000000000001</v>
      </c>
    </row>
    <row r="3178" spans="1:5" x14ac:dyDescent="0.3">
      <c r="A3178" s="10">
        <v>203</v>
      </c>
      <c r="B3178" s="10">
        <v>25</v>
      </c>
      <c r="C3178" s="10" t="s">
        <v>30</v>
      </c>
      <c r="D3178" s="10" t="s">
        <v>1</v>
      </c>
      <c r="E3178" s="15">
        <f>1.925+2.945-0.56-0.183+2.49+3.76-0.683</f>
        <v>9.6940000000000008</v>
      </c>
    </row>
    <row r="3179" spans="1:5" x14ac:dyDescent="0.3">
      <c r="A3179" s="8">
        <v>203</v>
      </c>
      <c r="B3179" s="8">
        <v>25</v>
      </c>
      <c r="C3179" s="8" t="s">
        <v>106</v>
      </c>
      <c r="D3179" s="8" t="s">
        <v>1</v>
      </c>
      <c r="E3179" s="9">
        <f>4.035+0.79-0.84+0.15-0.039</f>
        <v>4.096000000000001</v>
      </c>
    </row>
    <row r="3180" spans="1:5" x14ac:dyDescent="0.3">
      <c r="A3180" s="8">
        <v>203</v>
      </c>
      <c r="B3180" s="8">
        <v>28</v>
      </c>
      <c r="C3180" s="8">
        <v>20</v>
      </c>
      <c r="D3180" s="8" t="s">
        <v>1</v>
      </c>
      <c r="E3180" s="9">
        <v>5</v>
      </c>
    </row>
    <row r="3181" spans="1:5" x14ac:dyDescent="0.3">
      <c r="A3181" s="10">
        <v>203</v>
      </c>
      <c r="B3181" s="10">
        <v>28</v>
      </c>
      <c r="C3181" s="10" t="s">
        <v>26</v>
      </c>
      <c r="D3181" s="10" t="s">
        <v>64</v>
      </c>
      <c r="E3181" s="15">
        <f>5.22-0.186-0.774-1.081-0.064+5.097-0.059-0.127-0.175-0.279-0.211-0.307-0.127-0.071-0.128-0.489-0.031-2.22+0.154-2.068-0.219-0.055-0.032-0.094-0.12-0.663-0.526-0.127</f>
        <v>0.23800000000000021</v>
      </c>
    </row>
    <row r="3182" spans="1:5" x14ac:dyDescent="0.3">
      <c r="A3182" s="10">
        <v>203</v>
      </c>
      <c r="B3182" s="10">
        <v>28</v>
      </c>
      <c r="C3182" s="10" t="s">
        <v>26</v>
      </c>
      <c r="D3182" s="10" t="s">
        <v>64</v>
      </c>
      <c r="E3182" s="15">
        <f>2.22+2.068-1.106-2.069-0.419</f>
        <v>0.69400000000000039</v>
      </c>
    </row>
    <row r="3183" spans="1:5" x14ac:dyDescent="0.3">
      <c r="A3183" s="8">
        <v>203</v>
      </c>
      <c r="B3183" s="8">
        <v>28</v>
      </c>
      <c r="C3183" s="8">
        <v>35</v>
      </c>
      <c r="D3183" s="8" t="s">
        <v>1</v>
      </c>
      <c r="E3183" s="9">
        <v>7</v>
      </c>
    </row>
    <row r="3184" spans="1:5" x14ac:dyDescent="0.3">
      <c r="A3184" s="10">
        <v>203</v>
      </c>
      <c r="B3184" s="10">
        <v>28</v>
      </c>
      <c r="C3184" s="10">
        <v>45</v>
      </c>
      <c r="D3184" s="10" t="s">
        <v>1</v>
      </c>
      <c r="E3184" s="15">
        <f>8.79-0.02-1.922-0.375-0.559-0.095-0.128-0.066-0.034-0.25</f>
        <v>5.3410000000000002</v>
      </c>
    </row>
    <row r="3185" spans="1:5" x14ac:dyDescent="0.3">
      <c r="A3185" s="10">
        <v>203</v>
      </c>
      <c r="B3185" s="10">
        <v>28</v>
      </c>
      <c r="C3185" s="10" t="s">
        <v>28</v>
      </c>
      <c r="D3185" s="10" t="s">
        <v>1</v>
      </c>
      <c r="E3185" s="15">
        <f>4.195+2.1-2.175</f>
        <v>4.12</v>
      </c>
    </row>
    <row r="3186" spans="1:5" x14ac:dyDescent="0.3">
      <c r="A3186" s="10">
        <v>203</v>
      </c>
      <c r="B3186" s="10">
        <v>28</v>
      </c>
      <c r="C3186" s="10" t="s">
        <v>30</v>
      </c>
      <c r="D3186" s="10" t="s">
        <v>1</v>
      </c>
      <c r="E3186" s="15">
        <f>2.185+2.18-0.372+2.005-0.745-0.127+3.29-0.153-0.126</f>
        <v>8.1370000000000005</v>
      </c>
    </row>
    <row r="3187" spans="1:5" x14ac:dyDescent="0.3">
      <c r="A3187" s="8">
        <v>203</v>
      </c>
      <c r="B3187" s="8">
        <v>28</v>
      </c>
      <c r="C3187" s="8" t="s">
        <v>30</v>
      </c>
      <c r="D3187" s="8" t="s">
        <v>1</v>
      </c>
      <c r="E3187" s="9">
        <v>5</v>
      </c>
    </row>
    <row r="3188" spans="1:5" x14ac:dyDescent="0.3">
      <c r="A3188" s="8">
        <v>203</v>
      </c>
      <c r="B3188" s="8">
        <v>30</v>
      </c>
      <c r="C3188" s="8">
        <v>20</v>
      </c>
      <c r="D3188" s="8" t="s">
        <v>1</v>
      </c>
      <c r="E3188" s="9">
        <v>5</v>
      </c>
    </row>
    <row r="3189" spans="1:5" x14ac:dyDescent="0.3">
      <c r="A3189" s="10">
        <v>203</v>
      </c>
      <c r="B3189" s="10">
        <v>30</v>
      </c>
      <c r="C3189" s="10" t="s">
        <v>26</v>
      </c>
      <c r="D3189" s="10" t="s">
        <v>64</v>
      </c>
      <c r="E3189" s="15">
        <f>2.162-0.071</f>
        <v>2.0909999999999997</v>
      </c>
    </row>
    <row r="3190" spans="1:5" x14ac:dyDescent="0.3">
      <c r="A3190" s="10">
        <v>203</v>
      </c>
      <c r="B3190" s="10">
        <v>30</v>
      </c>
      <c r="C3190" s="10" t="s">
        <v>28</v>
      </c>
      <c r="D3190" s="10" t="s">
        <v>1</v>
      </c>
      <c r="E3190" s="15">
        <f>7.072+19.562+7.102-0.257-0.572-0.253-10.66-6.979-0.561-0.563-0.564-1.18-0.57-0.083-5.893-0.89-1.053</f>
        <v>3.6580000000000039</v>
      </c>
    </row>
    <row r="3191" spans="1:5" x14ac:dyDescent="0.3">
      <c r="A3191" s="10">
        <v>203</v>
      </c>
      <c r="B3191" s="10">
        <v>30</v>
      </c>
      <c r="C3191" s="10" t="s">
        <v>28</v>
      </c>
      <c r="D3191" s="10" t="s">
        <v>1</v>
      </c>
      <c r="E3191" s="15">
        <f>5.893-2.373</f>
        <v>3.5199999999999996</v>
      </c>
    </row>
    <row r="3192" spans="1:5" x14ac:dyDescent="0.3">
      <c r="A3192" s="10">
        <v>203</v>
      </c>
      <c r="B3192" s="10">
        <v>30</v>
      </c>
      <c r="C3192" s="10" t="s">
        <v>30</v>
      </c>
      <c r="D3192" s="10" t="s">
        <v>1</v>
      </c>
      <c r="E3192" s="15">
        <f>3.32+10.992-0.836+4.908-0.431-0.183-0.789-0.262-0.814-5.496-0.344-0.844-0.368-1.751-0.217-0.949-0.071-0.263-3.165-0.108-0.248-0.071-0.955-0.949</f>
        <v>0.10599999999999932</v>
      </c>
    </row>
    <row r="3193" spans="1:5" x14ac:dyDescent="0.3">
      <c r="A3193" s="10">
        <v>203</v>
      </c>
      <c r="B3193" s="10">
        <v>30</v>
      </c>
      <c r="C3193" s="10" t="s">
        <v>30</v>
      </c>
      <c r="D3193" s="10" t="s">
        <v>1</v>
      </c>
      <c r="E3193" s="15">
        <f>2.21+2.75-1.144</f>
        <v>3.8159999999999998</v>
      </c>
    </row>
    <row r="3194" spans="1:5" x14ac:dyDescent="0.3">
      <c r="A3194" s="8">
        <v>203</v>
      </c>
      <c r="B3194" s="8">
        <v>32</v>
      </c>
      <c r="C3194" s="8">
        <v>20</v>
      </c>
      <c r="D3194" s="8" t="s">
        <v>1</v>
      </c>
      <c r="E3194" s="9">
        <v>5</v>
      </c>
    </row>
    <row r="3195" spans="1:5" x14ac:dyDescent="0.3">
      <c r="A3195" s="10">
        <v>203</v>
      </c>
      <c r="B3195" s="10">
        <v>32</v>
      </c>
      <c r="C3195" s="10" t="s">
        <v>26</v>
      </c>
      <c r="D3195" s="10" t="s">
        <v>1</v>
      </c>
      <c r="E3195" s="15">
        <f>5.25-0.141-0.156-0.276-0.399-0.224-0.433-1.091-0.21-0.841-0.03-0.142-0.275-0.662-0.059-0.15-0.076-0.083-0.203+0.21</f>
        <v>9.0000000000004243E-3</v>
      </c>
    </row>
    <row r="3196" spans="1:5" x14ac:dyDescent="0.3">
      <c r="A3196" s="8">
        <v>203</v>
      </c>
      <c r="B3196" s="8">
        <v>32</v>
      </c>
      <c r="C3196" s="8" t="s">
        <v>26</v>
      </c>
      <c r="D3196" s="8" t="s">
        <v>64</v>
      </c>
      <c r="E3196" s="9">
        <f>3.18+2.4-0.417</f>
        <v>5.1630000000000003</v>
      </c>
    </row>
    <row r="3197" spans="1:5" x14ac:dyDescent="0.3">
      <c r="A3197" s="8">
        <v>203</v>
      </c>
      <c r="B3197" s="8">
        <v>32</v>
      </c>
      <c r="C3197" s="8">
        <v>35</v>
      </c>
      <c r="D3197" s="8" t="s">
        <v>1</v>
      </c>
      <c r="E3197" s="9">
        <v>5</v>
      </c>
    </row>
    <row r="3198" spans="1:5" x14ac:dyDescent="0.3">
      <c r="A3198" s="8">
        <v>203</v>
      </c>
      <c r="B3198" s="8">
        <v>32</v>
      </c>
      <c r="C3198" s="8">
        <v>45</v>
      </c>
      <c r="D3198" s="8" t="s">
        <v>1</v>
      </c>
      <c r="E3198" s="9">
        <v>5</v>
      </c>
    </row>
    <row r="3199" spans="1:5" x14ac:dyDescent="0.3">
      <c r="A3199" s="10">
        <v>203</v>
      </c>
      <c r="B3199" s="10">
        <v>32</v>
      </c>
      <c r="C3199" s="10" t="s">
        <v>28</v>
      </c>
      <c r="D3199" s="10" t="s">
        <v>1</v>
      </c>
      <c r="E3199" s="15">
        <f>2.425+2.35-0.17</f>
        <v>4.6050000000000004</v>
      </c>
    </row>
    <row r="3200" spans="1:5" x14ac:dyDescent="0.3">
      <c r="A3200" s="10">
        <v>203</v>
      </c>
      <c r="B3200" s="10">
        <v>32</v>
      </c>
      <c r="C3200" s="10" t="s">
        <v>30</v>
      </c>
      <c r="D3200" s="10" t="s">
        <v>1</v>
      </c>
      <c r="E3200" s="15">
        <f>2.465+2.48+1.225-0.279-0.283-0.074-0.143</f>
        <v>5.391</v>
      </c>
    </row>
    <row r="3201" spans="1:5" x14ac:dyDescent="0.3">
      <c r="A3201" s="8">
        <v>203</v>
      </c>
      <c r="B3201" s="8">
        <v>32</v>
      </c>
      <c r="C3201" s="8" t="s">
        <v>106</v>
      </c>
      <c r="D3201" s="8" t="s">
        <v>1</v>
      </c>
      <c r="E3201" s="9">
        <f>4.53+1.075</f>
        <v>5.6050000000000004</v>
      </c>
    </row>
    <row r="3202" spans="1:5" x14ac:dyDescent="0.3">
      <c r="A3202" s="10">
        <v>203</v>
      </c>
      <c r="B3202" s="10">
        <v>34</v>
      </c>
      <c r="C3202" s="10" t="s">
        <v>28</v>
      </c>
      <c r="D3202" s="10" t="s">
        <v>1</v>
      </c>
      <c r="E3202" s="15">
        <f>4.826-0.616-1.204-0.592-0.095-0.02-0.02-0.433</f>
        <v>1.8459999999999999</v>
      </c>
    </row>
    <row r="3203" spans="1:5" x14ac:dyDescent="0.3">
      <c r="A3203" s="10">
        <v>203</v>
      </c>
      <c r="B3203" s="10">
        <v>34</v>
      </c>
      <c r="C3203" s="10" t="s">
        <v>30</v>
      </c>
      <c r="D3203" s="10" t="s">
        <v>1</v>
      </c>
      <c r="E3203" s="15">
        <f>4.789-1.578-0.797-0.291-0.134-0.372-0.103-0.023-0.043-0.049-0.406-0.088-0.259-0.542</f>
        <v>0.10399999999999976</v>
      </c>
    </row>
    <row r="3204" spans="1:5" x14ac:dyDescent="0.3">
      <c r="A3204" s="10">
        <v>203</v>
      </c>
      <c r="B3204" s="10">
        <v>34</v>
      </c>
      <c r="C3204" s="10" t="s">
        <v>30</v>
      </c>
      <c r="D3204" s="10" t="s">
        <v>1</v>
      </c>
      <c r="E3204" s="15">
        <f>3.3+2.195</f>
        <v>5.4949999999999992</v>
      </c>
    </row>
    <row r="3205" spans="1:5" x14ac:dyDescent="0.3">
      <c r="A3205" s="8">
        <v>203</v>
      </c>
      <c r="B3205" s="8">
        <v>36</v>
      </c>
      <c r="C3205" s="8">
        <v>20</v>
      </c>
      <c r="D3205" s="8" t="s">
        <v>1</v>
      </c>
      <c r="E3205" s="9">
        <v>5</v>
      </c>
    </row>
    <row r="3206" spans="1:5" x14ac:dyDescent="0.3">
      <c r="A3206" s="8">
        <v>203</v>
      </c>
      <c r="B3206" s="8">
        <v>36</v>
      </c>
      <c r="C3206" s="8" t="s">
        <v>26</v>
      </c>
      <c r="D3206" s="8" t="s">
        <v>64</v>
      </c>
      <c r="E3206" s="9">
        <v>7</v>
      </c>
    </row>
    <row r="3207" spans="1:5" x14ac:dyDescent="0.3">
      <c r="A3207" s="8">
        <v>203</v>
      </c>
      <c r="B3207" s="8">
        <v>36</v>
      </c>
      <c r="C3207" s="8">
        <v>35</v>
      </c>
      <c r="D3207" s="8" t="s">
        <v>1</v>
      </c>
      <c r="E3207" s="9">
        <v>5</v>
      </c>
    </row>
    <row r="3208" spans="1:5" x14ac:dyDescent="0.3">
      <c r="A3208" s="10">
        <v>203</v>
      </c>
      <c r="B3208" s="10">
        <v>36</v>
      </c>
      <c r="C3208" s="10">
        <v>45</v>
      </c>
      <c r="D3208" s="10" t="s">
        <v>1</v>
      </c>
      <c r="E3208" s="15">
        <f>2.347+3.165-0.78-0.382-0.155-0.247-0.114-1.465-0.029-1.599-0.723-0.026+0.016</f>
        <v>8.0000000000007947E-3</v>
      </c>
    </row>
    <row r="3209" spans="1:5" x14ac:dyDescent="0.3">
      <c r="A3209" s="8">
        <v>203</v>
      </c>
      <c r="B3209" s="8">
        <v>36</v>
      </c>
      <c r="C3209" s="8">
        <v>45</v>
      </c>
      <c r="D3209" s="8" t="s">
        <v>1</v>
      </c>
      <c r="E3209" s="9">
        <v>5</v>
      </c>
    </row>
    <row r="3210" spans="1:5" x14ac:dyDescent="0.3">
      <c r="A3210" s="10">
        <v>203</v>
      </c>
      <c r="B3210" s="10">
        <v>36</v>
      </c>
      <c r="C3210" s="10" t="s">
        <v>28</v>
      </c>
      <c r="D3210" s="10" t="s">
        <v>1</v>
      </c>
      <c r="E3210" s="15">
        <f>6.1-1.235-1.226-1.246-1.226-0.125-0.518</f>
        <v>0.52399999999999936</v>
      </c>
    </row>
    <row r="3211" spans="1:5" x14ac:dyDescent="0.3">
      <c r="A3211" s="10">
        <v>203</v>
      </c>
      <c r="B3211" s="10">
        <v>36</v>
      </c>
      <c r="C3211" s="10" t="s">
        <v>28</v>
      </c>
      <c r="D3211" s="10" t="s">
        <v>1</v>
      </c>
      <c r="E3211" s="15">
        <f>4.85+2.41+1.246-2.535</f>
        <v>5.9710000000000001</v>
      </c>
    </row>
    <row r="3212" spans="1:5" x14ac:dyDescent="0.3">
      <c r="A3212" s="8">
        <v>203</v>
      </c>
      <c r="B3212" s="8">
        <v>36</v>
      </c>
      <c r="C3212" s="8" t="s">
        <v>30</v>
      </c>
      <c r="D3212" s="8" t="s">
        <v>1</v>
      </c>
      <c r="E3212" s="9">
        <v>5</v>
      </c>
    </row>
    <row r="3213" spans="1:5" x14ac:dyDescent="0.3">
      <c r="A3213" s="8">
        <v>203</v>
      </c>
      <c r="B3213" s="8">
        <v>36</v>
      </c>
      <c r="C3213" s="8" t="s">
        <v>106</v>
      </c>
      <c r="D3213" s="8" t="s">
        <v>1</v>
      </c>
      <c r="E3213" s="9">
        <f>4.08+1.07</f>
        <v>5.15</v>
      </c>
    </row>
    <row r="3214" spans="1:5" x14ac:dyDescent="0.3">
      <c r="A3214" s="8">
        <v>203</v>
      </c>
      <c r="B3214" s="8">
        <v>38</v>
      </c>
      <c r="C3214" s="8">
        <v>45</v>
      </c>
      <c r="D3214" s="8" t="s">
        <v>1</v>
      </c>
      <c r="E3214" s="9">
        <v>5</v>
      </c>
    </row>
    <row r="3215" spans="1:5" x14ac:dyDescent="0.3">
      <c r="A3215" s="10">
        <v>203</v>
      </c>
      <c r="B3215" s="10">
        <v>38</v>
      </c>
      <c r="C3215" s="10" t="s">
        <v>28</v>
      </c>
      <c r="D3215" s="10" t="s">
        <v>1</v>
      </c>
      <c r="E3215" s="15">
        <f>3.176+6.623</f>
        <v>9.7989999999999995</v>
      </c>
    </row>
    <row r="3216" spans="1:5" x14ac:dyDescent="0.3">
      <c r="A3216" s="8">
        <v>203</v>
      </c>
      <c r="B3216" s="8">
        <v>40</v>
      </c>
      <c r="C3216" s="8">
        <v>20</v>
      </c>
      <c r="D3216" s="8" t="s">
        <v>1</v>
      </c>
      <c r="E3216" s="9">
        <v>5</v>
      </c>
    </row>
    <row r="3217" spans="1:5" x14ac:dyDescent="0.3">
      <c r="A3217" s="10">
        <v>203</v>
      </c>
      <c r="B3217" s="10">
        <v>40</v>
      </c>
      <c r="C3217" s="10" t="s">
        <v>26</v>
      </c>
      <c r="D3217" s="10" t="s">
        <v>64</v>
      </c>
      <c r="E3217" s="15">
        <f>6.2-0.14-0.932-0.703-1.748-1.82+8.97-0.761-0.887-0.172-0.269-0.78-0.793-0.321-0.155-0.041</f>
        <v>5.6479999999999988</v>
      </c>
    </row>
    <row r="3218" spans="1:5" x14ac:dyDescent="0.3">
      <c r="A3218" s="8">
        <v>203</v>
      </c>
      <c r="B3218" s="8">
        <v>40</v>
      </c>
      <c r="C3218" s="8" t="s">
        <v>26</v>
      </c>
      <c r="D3218" s="8" t="s">
        <v>64</v>
      </c>
      <c r="E3218" s="9">
        <f>10-8.97</f>
        <v>1.0299999999999994</v>
      </c>
    </row>
    <row r="3219" spans="1:5" x14ac:dyDescent="0.3">
      <c r="A3219" s="10">
        <v>203</v>
      </c>
      <c r="B3219" s="10">
        <v>40</v>
      </c>
      <c r="C3219" s="10">
        <v>45</v>
      </c>
      <c r="D3219" s="10" t="s">
        <v>15</v>
      </c>
      <c r="E3219" s="15">
        <f>4.471+0.356-0.923-0.356-0.044-0.876-0.185+0.024-0.328-0.645-0.17-0.406-0.049-0.855+0.011</f>
        <v>2.5000000000000234E-2</v>
      </c>
    </row>
    <row r="3220" spans="1:5" x14ac:dyDescent="0.3">
      <c r="A3220" s="8">
        <v>203</v>
      </c>
      <c r="B3220" s="8">
        <v>40</v>
      </c>
      <c r="C3220" s="8">
        <v>45</v>
      </c>
      <c r="D3220" s="8" t="s">
        <v>1</v>
      </c>
      <c r="E3220" s="9">
        <v>5</v>
      </c>
    </row>
    <row r="3221" spans="1:5" x14ac:dyDescent="0.3">
      <c r="A3221" s="10">
        <v>203</v>
      </c>
      <c r="B3221" s="10">
        <v>40</v>
      </c>
      <c r="C3221" s="10" t="s">
        <v>28</v>
      </c>
      <c r="D3221" s="10" t="s">
        <v>1</v>
      </c>
      <c r="E3221" s="15">
        <f>1.345+2.665+4.01-0.654-2.76</f>
        <v>4.6059999999999999</v>
      </c>
    </row>
    <row r="3222" spans="1:5" x14ac:dyDescent="0.3">
      <c r="A3222" s="10">
        <v>203</v>
      </c>
      <c r="B3222" s="10">
        <v>40</v>
      </c>
      <c r="C3222" s="10" t="s">
        <v>30</v>
      </c>
      <c r="D3222" s="10" t="s">
        <v>1</v>
      </c>
      <c r="E3222" s="15">
        <f>0.775+1.58+3.225-0.167</f>
        <v>5.4130000000000003</v>
      </c>
    </row>
    <row r="3223" spans="1:5" x14ac:dyDescent="0.3">
      <c r="A3223" s="8">
        <v>203</v>
      </c>
      <c r="B3223" s="8">
        <v>42</v>
      </c>
      <c r="C3223" s="8">
        <v>35</v>
      </c>
      <c r="D3223" s="8" t="s">
        <v>1</v>
      </c>
      <c r="E3223" s="9">
        <v>5</v>
      </c>
    </row>
    <row r="3224" spans="1:5" x14ac:dyDescent="0.3">
      <c r="A3224" s="8">
        <v>203</v>
      </c>
      <c r="B3224" s="8">
        <v>45</v>
      </c>
      <c r="C3224" s="8">
        <v>20</v>
      </c>
      <c r="D3224" s="8" t="s">
        <v>1</v>
      </c>
      <c r="E3224" s="9">
        <f>3.49-0.185-0.176-0.164-0.303+3.524+2.14-0.364-0.401</f>
        <v>7.5610000000000008</v>
      </c>
    </row>
    <row r="3225" spans="1:5" x14ac:dyDescent="0.3">
      <c r="A3225" s="8">
        <v>203</v>
      </c>
      <c r="B3225" s="8">
        <v>45</v>
      </c>
      <c r="C3225" s="8" t="s">
        <v>26</v>
      </c>
      <c r="D3225" s="8" t="s">
        <v>64</v>
      </c>
      <c r="E3225" s="9">
        <f>8.89-0.739-1.646-2.356+1.587-1.663</f>
        <v>4.0729999999999995</v>
      </c>
    </row>
    <row r="3226" spans="1:5" x14ac:dyDescent="0.3">
      <c r="A3226" s="8">
        <v>203</v>
      </c>
      <c r="B3226" s="8">
        <v>45</v>
      </c>
      <c r="C3226" s="8" t="s">
        <v>26</v>
      </c>
      <c r="D3226" s="8" t="s">
        <v>64</v>
      </c>
      <c r="E3226" s="9">
        <f>10-8.89</f>
        <v>1.1099999999999994</v>
      </c>
    </row>
    <row r="3227" spans="1:5" x14ac:dyDescent="0.3">
      <c r="A3227" s="8">
        <v>203</v>
      </c>
      <c r="B3227" s="8">
        <v>45</v>
      </c>
      <c r="C3227" s="8">
        <v>35</v>
      </c>
      <c r="D3227" s="8" t="s">
        <v>15</v>
      </c>
      <c r="E3227" s="9">
        <f>4.473-0.829-1.84-0.302-0.878-0.097-0.183</f>
        <v>0.34400000000000003</v>
      </c>
    </row>
    <row r="3228" spans="1:5" x14ac:dyDescent="0.3">
      <c r="A3228" s="10">
        <v>203</v>
      </c>
      <c r="B3228" s="10">
        <v>45</v>
      </c>
      <c r="C3228" s="10">
        <v>35</v>
      </c>
      <c r="D3228" s="10" t="s">
        <v>1</v>
      </c>
      <c r="E3228" s="15">
        <v>3.1019999999999999</v>
      </c>
    </row>
    <row r="3229" spans="1:5" x14ac:dyDescent="0.3">
      <c r="A3229" s="8">
        <v>203</v>
      </c>
      <c r="B3229" s="8">
        <v>45</v>
      </c>
      <c r="C3229" s="8">
        <v>35</v>
      </c>
      <c r="D3229" s="8" t="s">
        <v>1</v>
      </c>
      <c r="E3229" s="9">
        <v>5</v>
      </c>
    </row>
    <row r="3230" spans="1:5" x14ac:dyDescent="0.3">
      <c r="A3230" s="10">
        <v>203</v>
      </c>
      <c r="B3230" s="10">
        <v>45</v>
      </c>
      <c r="C3230" s="10">
        <v>45</v>
      </c>
      <c r="D3230" s="10" t="s">
        <v>1</v>
      </c>
      <c r="E3230" s="15">
        <f>2.91+0.98-1.937+2.05-0.361-0.987</f>
        <v>2.6550000000000002</v>
      </c>
    </row>
    <row r="3231" spans="1:5" x14ac:dyDescent="0.3">
      <c r="A3231" s="8">
        <v>203</v>
      </c>
      <c r="B3231" s="8">
        <v>45</v>
      </c>
      <c r="C3231" s="8">
        <v>45</v>
      </c>
      <c r="D3231" s="8" t="s">
        <v>1</v>
      </c>
      <c r="E3231" s="9">
        <v>5</v>
      </c>
    </row>
    <row r="3232" spans="1:5" x14ac:dyDescent="0.3">
      <c r="A3232" s="10">
        <v>203</v>
      </c>
      <c r="B3232" s="10">
        <v>45</v>
      </c>
      <c r="C3232" s="10" t="s">
        <v>36</v>
      </c>
      <c r="D3232" s="10" t="s">
        <v>1</v>
      </c>
      <c r="E3232" s="15">
        <f>2.42-0.187+2.405+2.41+2.34</f>
        <v>9.3879999999999999</v>
      </c>
    </row>
    <row r="3233" spans="1:5" x14ac:dyDescent="0.3">
      <c r="A3233" s="10">
        <v>203</v>
      </c>
      <c r="B3233" s="10">
        <v>45</v>
      </c>
      <c r="C3233" s="10" t="s">
        <v>28</v>
      </c>
      <c r="D3233" s="10" t="s">
        <v>1</v>
      </c>
      <c r="E3233" s="15">
        <f>2.24+3.045-1.081-1.08-1.208</f>
        <v>1.9160000000000006</v>
      </c>
    </row>
    <row r="3234" spans="1:5" x14ac:dyDescent="0.3">
      <c r="A3234" s="10">
        <v>203</v>
      </c>
      <c r="B3234" s="10">
        <v>45</v>
      </c>
      <c r="C3234" s="10" t="s">
        <v>30</v>
      </c>
      <c r="D3234" s="10" t="s">
        <v>1</v>
      </c>
      <c r="E3234" s="15">
        <f>10.7-0.913-0.911-0.115-0.132</f>
        <v>8.6289999999999996</v>
      </c>
    </row>
    <row r="3235" spans="1:5" x14ac:dyDescent="0.3">
      <c r="A3235" s="10">
        <v>203</v>
      </c>
      <c r="B3235" s="10">
        <v>45</v>
      </c>
      <c r="C3235" s="10" t="s">
        <v>106</v>
      </c>
      <c r="D3235" s="10" t="s">
        <v>1</v>
      </c>
      <c r="E3235" s="15">
        <f>4.31+2.065-1.013-0.111-4.31</f>
        <v>0.94100000000000072</v>
      </c>
    </row>
    <row r="3236" spans="1:5" x14ac:dyDescent="0.3">
      <c r="A3236" s="10">
        <v>203</v>
      </c>
      <c r="B3236" s="10">
        <v>45</v>
      </c>
      <c r="C3236" s="10" t="s">
        <v>106</v>
      </c>
      <c r="D3236" s="10" t="s">
        <v>1</v>
      </c>
      <c r="E3236" s="15">
        <v>4.3099999999999996</v>
      </c>
    </row>
    <row r="3237" spans="1:5" x14ac:dyDescent="0.3">
      <c r="A3237" s="10">
        <v>203</v>
      </c>
      <c r="B3237" s="10">
        <v>50</v>
      </c>
      <c r="C3237" s="10">
        <v>20</v>
      </c>
      <c r="D3237" s="10" t="s">
        <v>1</v>
      </c>
      <c r="E3237" s="15">
        <f>5.892-2.961+1.48</f>
        <v>4.4110000000000005</v>
      </c>
    </row>
    <row r="3238" spans="1:5" x14ac:dyDescent="0.3">
      <c r="A3238" s="10">
        <v>203</v>
      </c>
      <c r="B3238" s="10">
        <v>50</v>
      </c>
      <c r="C3238" s="10">
        <v>20</v>
      </c>
      <c r="D3238" s="10" t="s">
        <v>1</v>
      </c>
      <c r="E3238" s="15">
        <f>1.48+2.934-0.262-0.2-0.09</f>
        <v>3.8619999999999992</v>
      </c>
    </row>
    <row r="3239" spans="1:5" x14ac:dyDescent="0.3">
      <c r="A3239" s="8">
        <v>203</v>
      </c>
      <c r="B3239" s="8">
        <v>50</v>
      </c>
      <c r="C3239" s="8">
        <v>35</v>
      </c>
      <c r="D3239" s="8" t="s">
        <v>1</v>
      </c>
      <c r="E3239" s="9">
        <v>5</v>
      </c>
    </row>
    <row r="3240" spans="1:5" x14ac:dyDescent="0.3">
      <c r="A3240" s="17">
        <v>203</v>
      </c>
      <c r="B3240" s="17">
        <v>50</v>
      </c>
      <c r="C3240" s="17">
        <v>45</v>
      </c>
      <c r="D3240" s="17" t="s">
        <v>1</v>
      </c>
      <c r="E3240" s="18">
        <f>7.725-1.282-0.291-0.202-0.797-0.272-0.387-1.919</f>
        <v>2.5749999999999997</v>
      </c>
    </row>
    <row r="3241" spans="1:5" x14ac:dyDescent="0.3">
      <c r="A3241" s="10">
        <v>203</v>
      </c>
      <c r="B3241" s="10">
        <v>50</v>
      </c>
      <c r="C3241" s="10">
        <v>45</v>
      </c>
      <c r="D3241" s="10" t="s">
        <v>1</v>
      </c>
      <c r="E3241" s="15">
        <f>25.06-0.196-4.708-10.979</f>
        <v>9.1769999999999996</v>
      </c>
    </row>
    <row r="3242" spans="1:5" x14ac:dyDescent="0.3">
      <c r="A3242" s="10">
        <v>203</v>
      </c>
      <c r="B3242" s="10">
        <v>50</v>
      </c>
      <c r="C3242" s="10" t="s">
        <v>28</v>
      </c>
      <c r="D3242" s="10" t="s">
        <v>1</v>
      </c>
      <c r="E3242" s="15">
        <f>2.44+2.445-0.504+3.57-1.969-2.549-0.392+2.225+4.14+6.05</f>
        <v>15.456</v>
      </c>
    </row>
    <row r="3243" spans="1:5" x14ac:dyDescent="0.3">
      <c r="A3243" s="10">
        <v>203</v>
      </c>
      <c r="B3243" s="10">
        <v>50</v>
      </c>
      <c r="C3243" s="10" t="s">
        <v>30</v>
      </c>
      <c r="D3243" s="10" t="s">
        <v>1</v>
      </c>
      <c r="E3243" s="15">
        <f>7.669-3.321-1.103+1.443+56.054-3.196-6.244+2.868-46.417-2.56</f>
        <v>5.1930000000000067</v>
      </c>
    </row>
    <row r="3244" spans="1:5" x14ac:dyDescent="0.3">
      <c r="A3244" s="10">
        <v>203</v>
      </c>
      <c r="B3244" s="10">
        <v>50</v>
      </c>
      <c r="C3244" s="10" t="s">
        <v>30</v>
      </c>
      <c r="D3244" s="10" t="s">
        <v>1</v>
      </c>
      <c r="E3244" s="15">
        <f>46.417-9.644</f>
        <v>36.773000000000003</v>
      </c>
    </row>
    <row r="3245" spans="1:5" x14ac:dyDescent="0.3">
      <c r="A3245" s="8">
        <v>203</v>
      </c>
      <c r="B3245" s="8">
        <v>50</v>
      </c>
      <c r="C3245" s="8" t="s">
        <v>106</v>
      </c>
      <c r="D3245" s="8" t="s">
        <v>1</v>
      </c>
      <c r="E3245" s="9">
        <f>2.19+3.305-0.154</f>
        <v>5.3410000000000002</v>
      </c>
    </row>
    <row r="3246" spans="1:5" x14ac:dyDescent="0.3">
      <c r="A3246" s="8">
        <v>203</v>
      </c>
      <c r="B3246" s="8">
        <v>60</v>
      </c>
      <c r="C3246" s="8">
        <v>20</v>
      </c>
      <c r="D3246" s="8" t="s">
        <v>1</v>
      </c>
      <c r="E3246" s="9">
        <v>5</v>
      </c>
    </row>
    <row r="3247" spans="1:5" x14ac:dyDescent="0.3">
      <c r="A3247" s="8">
        <v>203</v>
      </c>
      <c r="B3247" s="8">
        <v>60</v>
      </c>
      <c r="C3247" s="8">
        <v>35</v>
      </c>
      <c r="D3247" s="8" t="s">
        <v>1</v>
      </c>
      <c r="E3247" s="9">
        <v>5</v>
      </c>
    </row>
    <row r="3248" spans="1:5" x14ac:dyDescent="0.3">
      <c r="A3248" s="8">
        <v>203</v>
      </c>
      <c r="B3248" s="8">
        <v>60</v>
      </c>
      <c r="C3248" s="8">
        <v>45</v>
      </c>
      <c r="D3248" s="8" t="s">
        <v>1</v>
      </c>
      <c r="E3248" s="9">
        <v>5</v>
      </c>
    </row>
    <row r="3249" spans="1:5" x14ac:dyDescent="0.3">
      <c r="A3249" s="8">
        <v>203</v>
      </c>
      <c r="B3249" s="8">
        <v>60</v>
      </c>
      <c r="C3249" s="8" t="s">
        <v>30</v>
      </c>
      <c r="D3249" s="8" t="s">
        <v>1</v>
      </c>
      <c r="E3249" s="9">
        <v>5</v>
      </c>
    </row>
    <row r="3250" spans="1:5" x14ac:dyDescent="0.3">
      <c r="A3250" s="10">
        <v>212</v>
      </c>
      <c r="B3250" s="10">
        <v>50</v>
      </c>
      <c r="C3250" s="10" t="s">
        <v>30</v>
      </c>
      <c r="D3250" s="10" t="s">
        <v>64</v>
      </c>
      <c r="E3250" s="15">
        <f>4.615+5.745-2.335-0.617-1.7-0.051-0.247</f>
        <v>5.4099999999999984</v>
      </c>
    </row>
    <row r="3251" spans="1:5" x14ac:dyDescent="0.3">
      <c r="A3251" s="10">
        <v>212</v>
      </c>
      <c r="B3251" s="10">
        <v>50</v>
      </c>
      <c r="C3251" s="10" t="s">
        <v>28</v>
      </c>
      <c r="D3251" s="10" t="s">
        <v>1</v>
      </c>
      <c r="E3251" s="15">
        <v>4.4249999999999998</v>
      </c>
    </row>
    <row r="3252" spans="1:5" x14ac:dyDescent="0.3">
      <c r="A3252" s="10">
        <v>212</v>
      </c>
      <c r="B3252" s="10">
        <v>50</v>
      </c>
      <c r="C3252" s="10" t="s">
        <v>28</v>
      </c>
      <c r="D3252" s="10" t="s">
        <v>1</v>
      </c>
      <c r="E3252" s="15">
        <f>2.205+4.425</f>
        <v>6.63</v>
      </c>
    </row>
    <row r="3253" spans="1:5" x14ac:dyDescent="0.3">
      <c r="A3253" s="10">
        <v>214</v>
      </c>
      <c r="B3253" s="10">
        <v>7</v>
      </c>
      <c r="C3253" s="10">
        <v>20</v>
      </c>
      <c r="D3253" s="10" t="s">
        <v>1</v>
      </c>
      <c r="E3253" s="15">
        <f>0.094-0.052</f>
        <v>4.2000000000000003E-2</v>
      </c>
    </row>
    <row r="3254" spans="1:5" x14ac:dyDescent="0.3">
      <c r="A3254" s="10">
        <v>219</v>
      </c>
      <c r="B3254" s="10">
        <v>4.5</v>
      </c>
      <c r="C3254" s="10">
        <v>20</v>
      </c>
      <c r="D3254" s="10" t="s">
        <v>7</v>
      </c>
      <c r="E3254" s="15">
        <f>0.696-0.061-0.272-0.062</f>
        <v>0.30099999999999999</v>
      </c>
    </row>
    <row r="3255" spans="1:5" x14ac:dyDescent="0.3">
      <c r="A3255" s="10">
        <v>219</v>
      </c>
      <c r="B3255" s="10">
        <v>5</v>
      </c>
      <c r="C3255" s="10" t="s">
        <v>34</v>
      </c>
      <c r="D3255" s="10" t="s">
        <v>7</v>
      </c>
      <c r="E3255" s="15">
        <f>0.298+0.1-0.033-0.089-0.089-0.089-0.015-0.034-0.041</f>
        <v>8.0000000000000279E-3</v>
      </c>
    </row>
    <row r="3256" spans="1:5" x14ac:dyDescent="0.3">
      <c r="A3256" s="8">
        <v>219</v>
      </c>
      <c r="B3256" s="8">
        <v>5</v>
      </c>
      <c r="C3256" s="8">
        <v>20</v>
      </c>
      <c r="D3256" s="8" t="s">
        <v>7</v>
      </c>
      <c r="E3256" s="15">
        <f>0.634-0.009</f>
        <v>0.625</v>
      </c>
    </row>
    <row r="3257" spans="1:5" x14ac:dyDescent="0.3">
      <c r="A3257" s="10">
        <v>219</v>
      </c>
      <c r="B3257" s="10">
        <v>5</v>
      </c>
      <c r="C3257" s="10" t="s">
        <v>26</v>
      </c>
      <c r="D3257" s="10" t="s">
        <v>7</v>
      </c>
      <c r="E3257" s="15">
        <f>0.324-0.028-0.083-0.042-0.029-0.029-0.015-0.021+3.06-0.057-0.056-0.028-0.032-0.028-0.018-0.156-0.029-0.013-0.056-0.082-0.056-0.029-0.11-0.082-0.065-0.07-0.088-0.117-0.029-0.003-0.013-0.014-0.096-0.055-0.011-0.055-0.02-0.016-0.028-0.034</f>
        <v>1.5910000000000011</v>
      </c>
    </row>
    <row r="3258" spans="1:5" x14ac:dyDescent="0.3">
      <c r="A3258" s="10">
        <v>219</v>
      </c>
      <c r="B3258" s="10">
        <v>5.5</v>
      </c>
      <c r="C3258" s="10" t="s">
        <v>111</v>
      </c>
      <c r="D3258" s="10" t="s">
        <v>115</v>
      </c>
      <c r="E3258" s="15">
        <f>0.705-0.09</f>
        <v>0.61499999999999999</v>
      </c>
    </row>
    <row r="3259" spans="1:5" x14ac:dyDescent="0.3">
      <c r="A3259" s="10">
        <v>219</v>
      </c>
      <c r="B3259" s="10">
        <v>6</v>
      </c>
      <c r="C3259" s="10">
        <v>20</v>
      </c>
      <c r="D3259" s="10" t="s">
        <v>7</v>
      </c>
      <c r="E3259" s="15">
        <f>0.021+0.048-0.048+0.001</f>
        <v>2.2000000000000006E-2</v>
      </c>
    </row>
    <row r="3260" spans="1:5" x14ac:dyDescent="0.3">
      <c r="A3260" s="10">
        <v>219</v>
      </c>
      <c r="B3260" s="10">
        <v>6</v>
      </c>
      <c r="C3260" s="10">
        <v>20</v>
      </c>
      <c r="D3260" s="10" t="s">
        <v>7</v>
      </c>
      <c r="E3260" s="15">
        <f>0.23+0.205+0.271-0.155-0.1-0.098-0.174-0.023-0.027-0.029-0.032-0.007+0.092</f>
        <v>0.153</v>
      </c>
    </row>
    <row r="3261" spans="1:5" x14ac:dyDescent="0.3">
      <c r="A3261" s="10">
        <v>219</v>
      </c>
      <c r="B3261" s="10">
        <v>6</v>
      </c>
      <c r="C3261" s="10" t="s">
        <v>102</v>
      </c>
      <c r="D3261" s="10" t="s">
        <v>115</v>
      </c>
      <c r="E3261" s="15">
        <f>0.765+0.369-0.098-0.049-0.04</f>
        <v>0.94699999999999973</v>
      </c>
    </row>
    <row r="3262" spans="1:5" x14ac:dyDescent="0.3">
      <c r="A3262" s="10">
        <v>219</v>
      </c>
      <c r="B3262" s="10">
        <v>6</v>
      </c>
      <c r="C3262" s="10">
        <v>20</v>
      </c>
      <c r="D3262" s="10" t="s">
        <v>1</v>
      </c>
      <c r="E3262" s="15">
        <f>0.036-0.011+0.156-0.034+0.268-0.026-0.271</f>
        <v>0.11799999999999999</v>
      </c>
    </row>
    <row r="3263" spans="1:5" x14ac:dyDescent="0.3">
      <c r="A3263" s="8">
        <v>219</v>
      </c>
      <c r="B3263" s="8">
        <v>6</v>
      </c>
      <c r="C3263" s="8">
        <v>20</v>
      </c>
      <c r="D3263" s="8" t="s">
        <v>64</v>
      </c>
      <c r="E3263" s="9">
        <f>4.601-0.012-0.014-0.018-0.066-0.101-0.053-0.015-0.028-0.111-0.098-0.017-0.081-0.196-0.104-0.162-0.051-0.018-0.092-0.045-0.108-0.246-0.037-0.054-1.84-0.023-0.053-0.018-0.057-0.034-0.143-0.114-0.098-0.034-0.024-0.024-0.113-0.07-0.066-0.033-0.019-0.018-0.04-0.153+0.108-0.006</f>
        <v>2.0000000000012421E-3</v>
      </c>
    </row>
    <row r="3264" spans="1:5" x14ac:dyDescent="0.3">
      <c r="A3264" s="8">
        <v>219</v>
      </c>
      <c r="B3264" s="8">
        <v>6</v>
      </c>
      <c r="C3264" s="8">
        <v>20</v>
      </c>
      <c r="D3264" s="8" t="s">
        <v>1</v>
      </c>
      <c r="E3264" s="9">
        <f>5.52-0.034-0.034-0.05-0.034-0.101-0.082-0.029-0.05-0.104</f>
        <v>5.0020000000000007</v>
      </c>
    </row>
    <row r="3265" spans="1:5" x14ac:dyDescent="0.3">
      <c r="A3265" s="8">
        <v>219</v>
      </c>
      <c r="B3265" s="8">
        <v>6</v>
      </c>
      <c r="C3265" s="8">
        <v>20</v>
      </c>
      <c r="D3265" s="8" t="s">
        <v>1</v>
      </c>
      <c r="E3265" s="9">
        <v>5</v>
      </c>
    </row>
    <row r="3266" spans="1:5" x14ac:dyDescent="0.3">
      <c r="A3266" s="10">
        <v>219</v>
      </c>
      <c r="B3266" s="10">
        <v>6</v>
      </c>
      <c r="C3266" s="10">
        <v>20</v>
      </c>
      <c r="D3266" s="10" t="s">
        <v>32</v>
      </c>
      <c r="E3266" s="15">
        <f>0.656-0.025</f>
        <v>0.63100000000000001</v>
      </c>
    </row>
    <row r="3267" spans="1:5" x14ac:dyDescent="0.3">
      <c r="A3267" s="10">
        <v>219</v>
      </c>
      <c r="B3267" s="10">
        <v>6</v>
      </c>
      <c r="C3267" s="8" t="s">
        <v>26</v>
      </c>
      <c r="D3267" s="8" t="s">
        <v>121</v>
      </c>
      <c r="E3267" s="15">
        <f>1.3-0.034-0.009-0.066-0.019-0.098-0.121-0.018-0.015-0.078-0.08</f>
        <v>0.76200000000000012</v>
      </c>
    </row>
    <row r="3268" spans="1:5" x14ac:dyDescent="0.3">
      <c r="A3268" s="10">
        <v>219</v>
      </c>
      <c r="B3268" s="10">
        <v>6</v>
      </c>
      <c r="C3268" s="10" t="s">
        <v>26</v>
      </c>
      <c r="D3268" s="10" t="s">
        <v>22</v>
      </c>
      <c r="E3268" s="15">
        <f>0.378-0.065</f>
        <v>0.313</v>
      </c>
    </row>
    <row r="3269" spans="1:5" x14ac:dyDescent="0.3">
      <c r="A3269" s="10">
        <v>219</v>
      </c>
      <c r="B3269" s="10">
        <v>6</v>
      </c>
      <c r="C3269" s="10" t="s">
        <v>26</v>
      </c>
      <c r="D3269" s="10" t="s">
        <v>1</v>
      </c>
      <c r="E3269" s="15">
        <f>1.831-0.034-0.012-0.072-0.03-0.037-0.066-0.082-0.011-0.194-0.066-0.008-0.037-0.006-0.034-0.018+4.363-0.034-0.116-0.065-0.11-0.053-0.098-0.313-0.017-0.022-0.033-0.313-0.011-0.037-0.061-0.049-0.146-0.028-0.059-0.098-0.066-0.033-0.018-0.049-0.098-0.193-0.149-0.097-0.068-0.243-0.032-0.048-0.053-2.278-0.066-0.098-0.103-0.032-0.099+0.021-0.008</f>
        <v>1.4000000000000002E-2</v>
      </c>
    </row>
    <row r="3270" spans="1:5" x14ac:dyDescent="0.3">
      <c r="A3270" s="10">
        <v>219</v>
      </c>
      <c r="B3270" s="10">
        <v>6</v>
      </c>
      <c r="C3270" s="10" t="s">
        <v>26</v>
      </c>
      <c r="D3270" s="10" t="s">
        <v>1</v>
      </c>
      <c r="E3270" s="15">
        <f>2.431-0.057-0.062+1.73-0.224-0.121-0.077-0.04-1.053-0.108-0.04-0.076-0.04-0.083-0.112-0.077-0.02-0.15-0.349-0.042-0.066-0.006-0.028-0.125-0.047-0.032-0.095-0.03-0.017-0.468-0.04-0.092-0.03-0.019-0.21-0.028-0.04-0.025-0.048+0.032+0.023-0.023</f>
        <v>1.5999999999999084E-2</v>
      </c>
    </row>
    <row r="3271" spans="1:5" x14ac:dyDescent="0.3">
      <c r="A3271" s="8">
        <v>219</v>
      </c>
      <c r="B3271" s="8">
        <v>6</v>
      </c>
      <c r="C3271" s="8" t="s">
        <v>26</v>
      </c>
      <c r="D3271" s="8" t="s">
        <v>64</v>
      </c>
      <c r="E3271" s="9">
        <f>4.58-0.042-0.035-0.066-0.243-0.021-0.145-0.035-0.053-0.13-0.05-0.381-0.098-0.162-0.081-0.155-0.017-0.097-0.196-0.038-0.05-0.05-0.066-0.06</f>
        <v>2.3090000000000015</v>
      </c>
    </row>
    <row r="3272" spans="1:5" x14ac:dyDescent="0.3">
      <c r="A3272" s="8">
        <v>219</v>
      </c>
      <c r="B3272" s="8">
        <v>6</v>
      </c>
      <c r="C3272" s="8" t="s">
        <v>21</v>
      </c>
      <c r="D3272" s="8" t="s">
        <v>22</v>
      </c>
      <c r="E3272" s="15">
        <v>0.75600000000000001</v>
      </c>
    </row>
    <row r="3273" spans="1:5" x14ac:dyDescent="0.3">
      <c r="A3273" s="10">
        <v>219</v>
      </c>
      <c r="B3273" s="10">
        <v>6.3</v>
      </c>
      <c r="C3273" s="10">
        <v>20</v>
      </c>
      <c r="D3273" s="10" t="s">
        <v>7</v>
      </c>
      <c r="E3273" s="15">
        <f>0.654+0.325-0.068-0.036-0.325-0.063-0.053-0.122-0.026</f>
        <v>0.28600000000000003</v>
      </c>
    </row>
    <row r="3274" spans="1:5" x14ac:dyDescent="0.3">
      <c r="A3274" s="10">
        <v>219.1</v>
      </c>
      <c r="B3274" s="10">
        <v>6.3</v>
      </c>
      <c r="C3274" s="10" t="s">
        <v>100</v>
      </c>
      <c r="D3274" s="10" t="s">
        <v>101</v>
      </c>
      <c r="E3274" s="15">
        <f>0.636-0.364</f>
        <v>0.27200000000000002</v>
      </c>
    </row>
    <row r="3275" spans="1:5" x14ac:dyDescent="0.3">
      <c r="A3275" s="10">
        <v>219</v>
      </c>
      <c r="B3275" s="10">
        <v>7</v>
      </c>
      <c r="C3275" s="10" t="s">
        <v>34</v>
      </c>
      <c r="D3275" s="10" t="s">
        <v>69</v>
      </c>
      <c r="E3275" s="15">
        <f>1.481-0.114-0.864+0.002</f>
        <v>0.505</v>
      </c>
    </row>
    <row r="3276" spans="1:5" x14ac:dyDescent="0.3">
      <c r="A3276" s="10">
        <v>219</v>
      </c>
      <c r="B3276" s="10">
        <v>7</v>
      </c>
      <c r="C3276" s="10" t="s">
        <v>34</v>
      </c>
      <c r="D3276" s="10" t="s">
        <v>7</v>
      </c>
      <c r="E3276" s="15">
        <f>1.325-0.241-0.57-0.139-0.117</f>
        <v>0.25800000000000012</v>
      </c>
    </row>
    <row r="3277" spans="1:5" x14ac:dyDescent="0.3">
      <c r="A3277" s="10">
        <v>219</v>
      </c>
      <c r="B3277" s="10">
        <v>7</v>
      </c>
      <c r="C3277" s="10" t="s">
        <v>58</v>
      </c>
      <c r="D3277" s="10" t="s">
        <v>7</v>
      </c>
      <c r="E3277" s="15">
        <f>0.491-0.023-0.17-0.089</f>
        <v>0.20899999999999994</v>
      </c>
    </row>
    <row r="3278" spans="1:5" x14ac:dyDescent="0.3">
      <c r="A3278" s="10">
        <v>219</v>
      </c>
      <c r="B3278" s="10">
        <v>7</v>
      </c>
      <c r="C3278" s="10">
        <v>20</v>
      </c>
      <c r="D3278" s="10" t="s">
        <v>7</v>
      </c>
      <c r="E3278" s="15">
        <f>0.355-0.04-0.012-0.028</f>
        <v>0.27499999999999997</v>
      </c>
    </row>
    <row r="3279" spans="1:5" x14ac:dyDescent="0.3">
      <c r="A3279" s="13">
        <v>219</v>
      </c>
      <c r="B3279" s="13">
        <v>7</v>
      </c>
      <c r="C3279" s="13">
        <v>20</v>
      </c>
      <c r="D3279" s="13" t="s">
        <v>1</v>
      </c>
      <c r="E3279" s="16">
        <f>0.004+1.089-0.077-0.021+1.415+0.726+0.339+0.347-0.049-0.064-0.415-0.047+0.352-0.084-0.075-0.082-0.017-0.052-0.077-0.02-0.057-0.352-0.144+0.144-1.06-0.703-0.15-0.03-0.033-0.045-0.025-0.081-0.024-0.096-0.048-0.068-0.451+0.2-0.136-0.042+0.022</f>
        <v>1.2999999999999914E-2</v>
      </c>
    </row>
    <row r="3280" spans="1:5" x14ac:dyDescent="0.3">
      <c r="A3280" s="13">
        <v>219</v>
      </c>
      <c r="B3280" s="13">
        <v>7</v>
      </c>
      <c r="C3280" s="13">
        <v>20</v>
      </c>
      <c r="D3280" s="13" t="s">
        <v>1</v>
      </c>
      <c r="E3280" s="16">
        <f>0.068+0.451-0.055-0.057-0.123-0.042-0.048-0.017+0.04+0.136-0.116-0.052-0.033+0.042+2.496-0.022-0.048-0.021-0.025-0.058-0.022-0.041-0.065-0.113-0.191-0.021</f>
        <v>2.0630000000000011</v>
      </c>
    </row>
    <row r="3281" spans="1:5" x14ac:dyDescent="0.3">
      <c r="A3281" s="8">
        <v>219</v>
      </c>
      <c r="B3281" s="8">
        <v>7</v>
      </c>
      <c r="C3281" s="8" t="s">
        <v>26</v>
      </c>
      <c r="D3281" s="8" t="s">
        <v>7</v>
      </c>
      <c r="E3281" s="15">
        <f>1.207-0.181</f>
        <v>1.026</v>
      </c>
    </row>
    <row r="3282" spans="1:5" x14ac:dyDescent="0.3">
      <c r="A3282" s="10">
        <v>219</v>
      </c>
      <c r="B3282" s="10">
        <v>7</v>
      </c>
      <c r="C3282" s="10" t="s">
        <v>26</v>
      </c>
      <c r="D3282" s="10" t="s">
        <v>46</v>
      </c>
      <c r="E3282" s="15">
        <f>0.323+0.408-0.325</f>
        <v>0.40599999999999997</v>
      </c>
    </row>
    <row r="3283" spans="1:5" x14ac:dyDescent="0.3">
      <c r="A3283" s="10">
        <v>219</v>
      </c>
      <c r="B3283" s="10">
        <v>7</v>
      </c>
      <c r="C3283" s="10" t="s">
        <v>52</v>
      </c>
      <c r="D3283" s="10" t="s">
        <v>7</v>
      </c>
      <c r="E3283" s="15">
        <f>0.444-0.06-0.02-0.187-0.028</f>
        <v>0.14899999999999999</v>
      </c>
    </row>
    <row r="3284" spans="1:5" x14ac:dyDescent="0.3">
      <c r="A3284" s="10">
        <v>219</v>
      </c>
      <c r="B3284" s="10">
        <v>7</v>
      </c>
      <c r="C3284" s="10" t="s">
        <v>21</v>
      </c>
      <c r="D3284" s="10" t="s">
        <v>22</v>
      </c>
      <c r="E3284" s="15">
        <f>2.177-0.224-0.446</f>
        <v>1.5070000000000001</v>
      </c>
    </row>
    <row r="3285" spans="1:5" x14ac:dyDescent="0.3">
      <c r="A3285" s="8">
        <v>219</v>
      </c>
      <c r="B3285" s="8">
        <v>7</v>
      </c>
      <c r="C3285" s="13">
        <v>45</v>
      </c>
      <c r="D3285" s="8" t="s">
        <v>15</v>
      </c>
      <c r="E3285" s="9">
        <f>3.838+0.051-0.204-3.48-0.171</f>
        <v>3.4000000000000058E-2</v>
      </c>
    </row>
    <row r="3286" spans="1:5" x14ac:dyDescent="0.3">
      <c r="A3286" s="8">
        <v>219</v>
      </c>
      <c r="B3286" s="8">
        <v>7</v>
      </c>
      <c r="C3286" s="13">
        <v>45</v>
      </c>
      <c r="D3286" s="8" t="s">
        <v>15</v>
      </c>
      <c r="E3286" s="9">
        <f>3.48+0.171-0.04</f>
        <v>3.6109999999999998</v>
      </c>
    </row>
    <row r="3287" spans="1:5" x14ac:dyDescent="0.3">
      <c r="A3287" s="10">
        <v>219</v>
      </c>
      <c r="B3287" s="10">
        <v>7</v>
      </c>
      <c r="C3287" s="10" t="s">
        <v>28</v>
      </c>
      <c r="D3287" s="10" t="s">
        <v>1</v>
      </c>
      <c r="E3287" s="15">
        <f>4.239+0.115-0.052-0.063-0.058</f>
        <v>4.1810000000000009</v>
      </c>
    </row>
    <row r="3288" spans="1:5" x14ac:dyDescent="0.3">
      <c r="A3288" s="10">
        <v>219</v>
      </c>
      <c r="B3288" s="10">
        <v>8</v>
      </c>
      <c r="C3288" s="10" t="s">
        <v>58</v>
      </c>
      <c r="D3288" s="10" t="s">
        <v>7</v>
      </c>
      <c r="E3288" s="15">
        <f>0.283-0.127+0.425-0.045-0.045+0.346-0.174-0.174</f>
        <v>0.48900000000000005</v>
      </c>
    </row>
    <row r="3289" spans="1:5" x14ac:dyDescent="0.3">
      <c r="A3289" s="10">
        <v>219</v>
      </c>
      <c r="B3289" s="10">
        <v>8</v>
      </c>
      <c r="C3289" s="10">
        <v>10</v>
      </c>
      <c r="D3289" s="10" t="s">
        <v>1</v>
      </c>
      <c r="E3289" s="15">
        <v>0.19</v>
      </c>
    </row>
    <row r="3290" spans="1:5" x14ac:dyDescent="0.3">
      <c r="A3290" s="10">
        <v>219</v>
      </c>
      <c r="B3290" s="10">
        <v>8</v>
      </c>
      <c r="C3290" s="10">
        <v>20</v>
      </c>
      <c r="D3290" s="10" t="s">
        <v>1</v>
      </c>
      <c r="E3290" s="15">
        <f>5.143-0.479-0.952-0.14-0.089-0.089-0.088-0.036-0.019-0.01+4.576-0.043-0.016-0.175-0.045-0.139+0.942-0.101-0.218-0.15-0.132-0.023-0.045-0.016+0.342-0.013+0.307+0.147+0.13-0.359-1.456-0.024-0.025-0.046-0.047-0.06-0.069-0.088-0.022+2.072-0.058+0.319+1.875-0.046-0.017-0.046-0.046-0.09-0.046-0.054-0.13-0.09-0.115-0.52-0.059-0.089-0.029-5.941-0.303-0.483-2.226-0.342+0.226</f>
        <v>0.13500000000000431</v>
      </c>
    </row>
    <row r="3291" spans="1:5" x14ac:dyDescent="0.3">
      <c r="A3291" s="10">
        <v>219</v>
      </c>
      <c r="B3291" s="10">
        <v>8</v>
      </c>
      <c r="C3291" s="10">
        <v>20</v>
      </c>
      <c r="D3291" s="10" t="s">
        <v>1</v>
      </c>
      <c r="E3291" s="15">
        <f>5.941-0.265+2.226+0.342-0.009-0.016-0.075-0.046-0.134-0.207-0.076-0.111+0.159-0.046-0.073-0.134-0.099-0.134-0.202-0.134-0.099-0.009-0.043-0.05-0.113-0.038-0.131-0.014-0.159-0.028-0.291-0.032-0.027-0.011-0.091-0.284-0.046-0.178-0.014-0.046-0.019+0.079-0.029-0.008-0.099-0.092-0.047-0.049-0.046-0.09</f>
        <v>4.8029999999999964</v>
      </c>
    </row>
    <row r="3292" spans="1:5" x14ac:dyDescent="0.3">
      <c r="A3292" s="10">
        <v>219</v>
      </c>
      <c r="B3292" s="10">
        <v>8</v>
      </c>
      <c r="C3292" s="10" t="s">
        <v>81</v>
      </c>
      <c r="D3292" s="10" t="s">
        <v>82</v>
      </c>
      <c r="E3292" s="15">
        <f>3.815-0.018</f>
        <v>3.7970000000000002</v>
      </c>
    </row>
    <row r="3293" spans="1:5" x14ac:dyDescent="0.3">
      <c r="A3293" s="10">
        <v>219</v>
      </c>
      <c r="B3293" s="10">
        <v>8</v>
      </c>
      <c r="C3293" s="10" t="s">
        <v>26</v>
      </c>
      <c r="D3293" s="10" t="s">
        <v>7</v>
      </c>
      <c r="E3293" s="15">
        <f>0.316-0.044+1.01-0.272-0.13+1.449+0.807-0.531-0.663-0.49-0.053-0.167-0.505-0.213-0.129-0.069-0.045-0.043-0.141-0.064</f>
        <v>2.3000000000000048E-2</v>
      </c>
    </row>
    <row r="3294" spans="1:5" x14ac:dyDescent="0.3">
      <c r="A3294" s="10">
        <v>219</v>
      </c>
      <c r="B3294" s="10">
        <v>8</v>
      </c>
      <c r="C3294" s="10" t="s">
        <v>26</v>
      </c>
      <c r="D3294" s="10" t="s">
        <v>22</v>
      </c>
      <c r="E3294" s="15">
        <f>1.01-0.024-0.672</f>
        <v>0.31399999999999995</v>
      </c>
    </row>
    <row r="3295" spans="1:5" x14ac:dyDescent="0.3">
      <c r="A3295" s="8">
        <v>219</v>
      </c>
      <c r="B3295" s="8">
        <v>8</v>
      </c>
      <c r="C3295" s="8" t="s">
        <v>26</v>
      </c>
      <c r="D3295" s="8" t="s">
        <v>64</v>
      </c>
      <c r="E3295" s="9">
        <f>2.3-0.204-0.131-0.04-0.199-0.135+2.675-0.045-0.063-0.048-0.045-0.027-0.183-0.027-0.046-0.067-0.013-0.026-0.024-0.024-0.088-0.075-0.087-0.471-0.045-0.089-0.045-0.071-0.131-0.174-0.185-0.042-0.092-0.471-0.011-0.011-0.071-0.027-0.032-0.197-0.008-0.087-0.071-0.009-0.03</f>
        <v>1.0079999999999993</v>
      </c>
    </row>
    <row r="3296" spans="1:5" x14ac:dyDescent="0.3">
      <c r="A3296" s="10">
        <v>219</v>
      </c>
      <c r="B3296" s="10">
        <v>8</v>
      </c>
      <c r="C3296" s="10" t="s">
        <v>37</v>
      </c>
      <c r="D3296" s="10" t="s">
        <v>7</v>
      </c>
      <c r="E3296" s="15">
        <f>0.5-0.087-0.087</f>
        <v>0.32600000000000007</v>
      </c>
    </row>
    <row r="3297" spans="1:5" x14ac:dyDescent="0.3">
      <c r="A3297" s="10">
        <v>219</v>
      </c>
      <c r="B3297" s="10">
        <v>8</v>
      </c>
      <c r="C3297" s="10" t="s">
        <v>37</v>
      </c>
      <c r="D3297" s="10" t="s">
        <v>129</v>
      </c>
      <c r="E3297" s="15">
        <f>5.688+0.44-0.148-0.097-0.712-0.013-0.47</f>
        <v>4.6880000000000006</v>
      </c>
    </row>
    <row r="3298" spans="1:5" x14ac:dyDescent="0.3">
      <c r="A3298" s="10">
        <v>219</v>
      </c>
      <c r="B3298" s="10">
        <v>8</v>
      </c>
      <c r="C3298" s="10" t="s">
        <v>36</v>
      </c>
      <c r="D3298" s="10" t="s">
        <v>1</v>
      </c>
      <c r="E3298" s="15">
        <v>0.46400000000000002</v>
      </c>
    </row>
    <row r="3299" spans="1:5" x14ac:dyDescent="0.3">
      <c r="A3299" s="10">
        <v>219</v>
      </c>
      <c r="B3299" s="10">
        <v>8</v>
      </c>
      <c r="C3299" s="10" t="s">
        <v>29</v>
      </c>
      <c r="D3299" s="10" t="s">
        <v>3</v>
      </c>
      <c r="E3299" s="15">
        <f>4.385-2.596+0.103-0.046-0.531-0.09-0.058-0.044</f>
        <v>1.1229999999999993</v>
      </c>
    </row>
    <row r="3300" spans="1:5" x14ac:dyDescent="0.3">
      <c r="A3300" s="10">
        <v>219</v>
      </c>
      <c r="B3300" s="10">
        <v>9</v>
      </c>
      <c r="C3300" s="10">
        <v>20</v>
      </c>
      <c r="D3300" s="10" t="s">
        <v>32</v>
      </c>
      <c r="E3300" s="15">
        <f>1.14-0.369+4-0.138-0.035-0.057-0.111-0.164-0.12-0.078</f>
        <v>4.0679999999999996</v>
      </c>
    </row>
    <row r="3301" spans="1:5" x14ac:dyDescent="0.3">
      <c r="A3301" s="10">
        <v>219</v>
      </c>
      <c r="B3301" s="10">
        <v>9</v>
      </c>
      <c r="C3301" s="10" t="s">
        <v>26</v>
      </c>
      <c r="D3301" s="10" t="s">
        <v>1</v>
      </c>
      <c r="E3301" s="15">
        <f>2.538-0.143-0.031-0.14-0.024-0.024-0.113-0.024-0.09-0.396-0.173-0.144-0.026-0.143-0.101-0.39-0.021-0.039-0.018</f>
        <v>0.49799999999999944</v>
      </c>
    </row>
    <row r="3302" spans="1:5" x14ac:dyDescent="0.3">
      <c r="A3302" s="10">
        <v>219</v>
      </c>
      <c r="B3302" s="10">
        <v>9</v>
      </c>
      <c r="C3302" s="10" t="s">
        <v>26</v>
      </c>
      <c r="D3302" s="10" t="s">
        <v>7</v>
      </c>
      <c r="E3302" s="15">
        <f>0.559+1.116</f>
        <v>1.6750000000000003</v>
      </c>
    </row>
    <row r="3303" spans="1:5" x14ac:dyDescent="0.3">
      <c r="A3303" s="10">
        <v>219</v>
      </c>
      <c r="B3303" s="10">
        <v>9</v>
      </c>
      <c r="C3303" s="10" t="s">
        <v>37</v>
      </c>
      <c r="D3303" s="10" t="s">
        <v>1</v>
      </c>
      <c r="E3303" s="15">
        <f>4.99-0.031-0.045</f>
        <v>4.9140000000000006</v>
      </c>
    </row>
    <row r="3304" spans="1:5" x14ac:dyDescent="0.3">
      <c r="A3304" s="10">
        <v>219</v>
      </c>
      <c r="B3304" s="10">
        <v>10</v>
      </c>
      <c r="C3304" s="10">
        <v>20</v>
      </c>
      <c r="D3304" s="10" t="s">
        <v>1</v>
      </c>
      <c r="E3304" s="15">
        <f>1.416-0.027+2.615-0.016-0.081-0.035-0.055-0.445-0.025-0.027-0.014-0.449-0.044-0.076-0.117-0.28-0.04-0.52-0.013-0.066-0.027-0.05-0.016-0.731-0.206</f>
        <v>0.67100000000000082</v>
      </c>
    </row>
    <row r="3305" spans="1:5" x14ac:dyDescent="0.3">
      <c r="A3305" s="10">
        <v>219</v>
      </c>
      <c r="B3305" s="10">
        <v>10</v>
      </c>
      <c r="C3305" s="10">
        <v>20</v>
      </c>
      <c r="D3305" s="10" t="s">
        <v>7</v>
      </c>
      <c r="E3305" s="15">
        <f>1.804-0.107</f>
        <v>1.6970000000000001</v>
      </c>
    </row>
    <row r="3306" spans="1:5" x14ac:dyDescent="0.3">
      <c r="A3306" s="8">
        <v>219</v>
      </c>
      <c r="B3306" s="8">
        <v>10</v>
      </c>
      <c r="C3306" s="8">
        <v>20</v>
      </c>
      <c r="D3306" s="8" t="s">
        <v>1</v>
      </c>
      <c r="E3306" s="9">
        <v>5</v>
      </c>
    </row>
    <row r="3307" spans="1:5" x14ac:dyDescent="0.3">
      <c r="A3307" s="10">
        <v>219</v>
      </c>
      <c r="B3307" s="10">
        <v>10</v>
      </c>
      <c r="C3307" s="10" t="s">
        <v>26</v>
      </c>
      <c r="D3307" s="10" t="s">
        <v>7</v>
      </c>
      <c r="E3307" s="15">
        <f>1.685-0.055</f>
        <v>1.6300000000000001</v>
      </c>
    </row>
    <row r="3308" spans="1:5" x14ac:dyDescent="0.3">
      <c r="A3308" s="10">
        <v>219</v>
      </c>
      <c r="B3308" s="10">
        <v>10</v>
      </c>
      <c r="C3308" s="10" t="s">
        <v>26</v>
      </c>
      <c r="D3308" s="10" t="s">
        <v>1</v>
      </c>
      <c r="E3308" s="15">
        <f>1.533-0.107-0.044-0.059-0.023-0.046-0.089-0.117-0.054-0.157-0.16-0.023-0.011-0.14-0.087-0.21-0.106-0.11+0.017</f>
        <v>6.9999999999999368E-3</v>
      </c>
    </row>
    <row r="3309" spans="1:5" x14ac:dyDescent="0.3">
      <c r="A3309" s="8">
        <v>219</v>
      </c>
      <c r="B3309" s="8">
        <v>10</v>
      </c>
      <c r="C3309" s="8" t="s">
        <v>26</v>
      </c>
      <c r="D3309" s="8" t="s">
        <v>64</v>
      </c>
      <c r="E3309" s="9">
        <f>4.78-0.03-0.025-0.32-0.522-0.045-0.142-0.071-0.004+0.086-0.021-0.052-0.887-0.008-0.043-0.033-0.129-0.215-0.055-0.141-0.088-0.083-0.108-0.108-0.068-0.011-0.035</f>
        <v>1.6219999999999988</v>
      </c>
    </row>
    <row r="3310" spans="1:5" x14ac:dyDescent="0.3">
      <c r="A3310" s="10">
        <v>219</v>
      </c>
      <c r="B3310" s="10">
        <v>10</v>
      </c>
      <c r="C3310" s="10" t="s">
        <v>112</v>
      </c>
      <c r="D3310" s="10" t="s">
        <v>1</v>
      </c>
      <c r="E3310" s="15">
        <v>0.11</v>
      </c>
    </row>
    <row r="3311" spans="1:5" x14ac:dyDescent="0.3">
      <c r="A3311" s="10">
        <v>219</v>
      </c>
      <c r="B3311" s="10">
        <v>10</v>
      </c>
      <c r="C3311" s="10" t="s">
        <v>79</v>
      </c>
      <c r="D3311" s="10" t="s">
        <v>1</v>
      </c>
      <c r="E3311" s="15">
        <f>0.439-0.023-0.088-0.037</f>
        <v>0.29099999999999998</v>
      </c>
    </row>
    <row r="3312" spans="1:5" x14ac:dyDescent="0.3">
      <c r="A3312" s="10">
        <v>219</v>
      </c>
      <c r="B3312" s="10">
        <v>10</v>
      </c>
      <c r="C3312" s="10" t="s">
        <v>37</v>
      </c>
      <c r="D3312" s="10" t="s">
        <v>13</v>
      </c>
      <c r="E3312" s="15">
        <f>0.031+0.043</f>
        <v>7.3999999999999996E-2</v>
      </c>
    </row>
    <row r="3313" spans="1:5" x14ac:dyDescent="0.3">
      <c r="A3313" s="10">
        <v>219</v>
      </c>
      <c r="B3313" s="10">
        <v>10</v>
      </c>
      <c r="C3313" s="10" t="s">
        <v>28</v>
      </c>
      <c r="D3313" s="10" t="s">
        <v>1</v>
      </c>
      <c r="E3313" s="15">
        <f>9.85-0.107-0.226</f>
        <v>9.5169999999999995</v>
      </c>
    </row>
    <row r="3314" spans="1:5" x14ac:dyDescent="0.3">
      <c r="A3314" s="10">
        <v>219</v>
      </c>
      <c r="B3314" s="10">
        <v>10</v>
      </c>
      <c r="C3314" s="10" t="s">
        <v>30</v>
      </c>
      <c r="D3314" s="10" t="s">
        <v>1</v>
      </c>
      <c r="E3314" s="15">
        <f>9.88-0.023-1.049</f>
        <v>8.8080000000000016</v>
      </c>
    </row>
    <row r="3315" spans="1:5" x14ac:dyDescent="0.3">
      <c r="A3315" s="8">
        <v>219</v>
      </c>
      <c r="B3315" s="8">
        <v>10</v>
      </c>
      <c r="C3315" s="8" t="s">
        <v>29</v>
      </c>
      <c r="D3315" s="8" t="s">
        <v>3</v>
      </c>
      <c r="E3315" s="9">
        <f>3.279+0.87+0.068-0.068-2.489-0.738-0.061-0.074</f>
        <v>0.78700000000000025</v>
      </c>
    </row>
    <row r="3316" spans="1:5" x14ac:dyDescent="0.3">
      <c r="A3316" s="10">
        <v>219</v>
      </c>
      <c r="B3316" s="10">
        <v>11</v>
      </c>
      <c r="C3316" s="10" t="s">
        <v>37</v>
      </c>
      <c r="D3316" s="10" t="s">
        <v>7</v>
      </c>
      <c r="E3316" s="15">
        <f>0.677-0.196</f>
        <v>0.48100000000000004</v>
      </c>
    </row>
    <row r="3317" spans="1:5" x14ac:dyDescent="0.3">
      <c r="A3317" s="10">
        <v>219</v>
      </c>
      <c r="B3317" s="10">
        <v>11</v>
      </c>
      <c r="C3317" s="10" t="s">
        <v>79</v>
      </c>
      <c r="D3317" s="10" t="s">
        <v>1</v>
      </c>
      <c r="E3317" s="15">
        <f>1.909+1.297</f>
        <v>3.206</v>
      </c>
    </row>
    <row r="3318" spans="1:5" x14ac:dyDescent="0.3">
      <c r="A3318" s="10">
        <v>219</v>
      </c>
      <c r="B3318" s="10">
        <v>12</v>
      </c>
      <c r="C3318" s="10">
        <v>20</v>
      </c>
      <c r="D3318" s="10" t="s">
        <v>7</v>
      </c>
      <c r="E3318" s="15">
        <v>1.2929999999999999</v>
      </c>
    </row>
    <row r="3319" spans="1:5" x14ac:dyDescent="0.3">
      <c r="A3319" s="10">
        <v>219</v>
      </c>
      <c r="B3319" s="10">
        <v>12</v>
      </c>
      <c r="C3319" s="10" t="s">
        <v>87</v>
      </c>
      <c r="D3319" s="10" t="s">
        <v>90</v>
      </c>
      <c r="E3319" s="15">
        <f>4.462-1.488</f>
        <v>2.9739999999999998</v>
      </c>
    </row>
    <row r="3320" spans="1:5" x14ac:dyDescent="0.3">
      <c r="A3320" s="10">
        <v>219</v>
      </c>
      <c r="B3320" s="10">
        <v>12</v>
      </c>
      <c r="C3320" s="10">
        <v>20</v>
      </c>
      <c r="D3320" s="10" t="s">
        <v>1</v>
      </c>
      <c r="E3320" s="15">
        <f>4.105-0.523+0.501-0.558-0.203-0.154-0.046-0.044-0.192-0.066-0.056-0.066+0.093-0.041-0.052-0.034-0.299-0.017-0.047-0.023-0.613-0.146-0.037-0.024-0.023-0.231-0.028-0.044-0.034-0.035-0.118-0.066-0.035-0.035-0.23-0.23-0.189-0.098</f>
        <v>6.2000000000001082E-2</v>
      </c>
    </row>
    <row r="3321" spans="1:5" x14ac:dyDescent="0.3">
      <c r="A3321" s="10">
        <v>219</v>
      </c>
      <c r="B3321" s="10">
        <v>12</v>
      </c>
      <c r="C3321" s="10">
        <v>20</v>
      </c>
      <c r="D3321" s="10" t="s">
        <v>1</v>
      </c>
      <c r="E3321" s="15">
        <f>3.98-0.033-0.189-0.066-0.037-0.064-0.127-0.073-0.021-0.065-0.065-0.065-0.12-0.042-0.157-0.066-0.112-0.02-0.033-0.065-0.018</f>
        <v>2.5420000000000011</v>
      </c>
    </row>
    <row r="3322" spans="1:5" x14ac:dyDescent="0.3">
      <c r="A3322" s="10">
        <v>219</v>
      </c>
      <c r="B3322" s="10">
        <v>12</v>
      </c>
      <c r="C3322" s="10">
        <v>20</v>
      </c>
      <c r="D3322" s="10" t="s">
        <v>32</v>
      </c>
      <c r="E3322" s="15">
        <f>0.511-0.049-0.176-0.015-0.069+0.004-0.134</f>
        <v>7.2000000000000008E-2</v>
      </c>
    </row>
    <row r="3323" spans="1:5" x14ac:dyDescent="0.3">
      <c r="A3323" s="10">
        <v>219</v>
      </c>
      <c r="B3323" s="10">
        <v>12</v>
      </c>
      <c r="C3323" s="10" t="s">
        <v>26</v>
      </c>
      <c r="D3323" s="10" t="s">
        <v>7</v>
      </c>
      <c r="E3323" s="15">
        <f>1.226-0.023-0.099</f>
        <v>1.1040000000000001</v>
      </c>
    </row>
    <row r="3324" spans="1:5" x14ac:dyDescent="0.3">
      <c r="A3324" s="8">
        <v>219</v>
      </c>
      <c r="B3324" s="8">
        <v>12</v>
      </c>
      <c r="C3324" s="8" t="s">
        <v>26</v>
      </c>
      <c r="D3324" s="8" t="s">
        <v>64</v>
      </c>
      <c r="E3324" s="9">
        <f>2.33+3.04-0.067-0.065-0.192-0.129-0.191-0.192-0.034-0.035-0.127-0.254-0.35-0.047-0.077-0.078-0.13-0.11-0.625-0.098-0.19-0.034-0.072-0.154-0.161-0.098-0.098-0.099-0.053-0.128-0.035-0.054-0.022-0.011+0.035-0.022-0.022-0.128-0.066-0.129-0.516</f>
        <v>0.51200000000000023</v>
      </c>
    </row>
    <row r="3325" spans="1:5" x14ac:dyDescent="0.3">
      <c r="A3325" s="10">
        <v>219</v>
      </c>
      <c r="B3325" s="10">
        <v>12</v>
      </c>
      <c r="C3325" s="10" t="s">
        <v>79</v>
      </c>
      <c r="D3325" s="10" t="s">
        <v>1</v>
      </c>
      <c r="E3325" s="15">
        <v>6.5170000000000003</v>
      </c>
    </row>
    <row r="3326" spans="1:5" x14ac:dyDescent="0.3">
      <c r="A3326" s="10">
        <v>219</v>
      </c>
      <c r="B3326" s="10">
        <v>12</v>
      </c>
      <c r="C3326" s="10" t="s">
        <v>30</v>
      </c>
      <c r="D3326" s="10" t="s">
        <v>1</v>
      </c>
      <c r="E3326" s="15">
        <f>11.1-3.292-0.125-0.666-0.067-0.115-0.012-0.098</f>
        <v>6.7249999999999996</v>
      </c>
    </row>
    <row r="3327" spans="1:5" x14ac:dyDescent="0.3">
      <c r="A3327" s="10">
        <v>219</v>
      </c>
      <c r="B3327" s="10">
        <v>12</v>
      </c>
      <c r="C3327" s="10" t="s">
        <v>28</v>
      </c>
      <c r="D3327" s="10" t="s">
        <v>1</v>
      </c>
      <c r="E3327" s="15">
        <f>4.71-0.683-0.317-0.063-0.172</f>
        <v>3.4749999999999996</v>
      </c>
    </row>
    <row r="3328" spans="1:5" x14ac:dyDescent="0.3">
      <c r="A3328" s="10">
        <v>219</v>
      </c>
      <c r="B3328" s="10">
        <v>12</v>
      </c>
      <c r="C3328" s="10" t="s">
        <v>29</v>
      </c>
      <c r="D3328" s="10" t="s">
        <v>3</v>
      </c>
      <c r="E3328" s="15">
        <f>5.53-0.02-0.045-0.025-0.019-0.259-0.127</f>
        <v>5.0350000000000001</v>
      </c>
    </row>
    <row r="3329" spans="1:5" x14ac:dyDescent="0.3">
      <c r="A3329" s="10">
        <v>219.1</v>
      </c>
      <c r="B3329" s="10">
        <v>12.5</v>
      </c>
      <c r="C3329" s="10" t="s">
        <v>65</v>
      </c>
      <c r="D3329" s="10" t="s">
        <v>101</v>
      </c>
      <c r="E3329" s="15">
        <f>1.02-0.196</f>
        <v>0.82400000000000007</v>
      </c>
    </row>
    <row r="3330" spans="1:5" x14ac:dyDescent="0.3">
      <c r="A3330" s="8">
        <v>219</v>
      </c>
      <c r="B3330" s="8">
        <v>13</v>
      </c>
      <c r="C3330" s="8" t="s">
        <v>35</v>
      </c>
      <c r="D3330" s="8" t="s">
        <v>32</v>
      </c>
      <c r="E3330" s="9">
        <f>11.328-0.83-0.309-2.487-0.308-0.45-0.076-1.23+0.012-0.437-0.547-1.414-2.512</f>
        <v>0.73999999999999977</v>
      </c>
    </row>
    <row r="3331" spans="1:5" x14ac:dyDescent="0.3">
      <c r="A3331" s="10">
        <v>219</v>
      </c>
      <c r="B3331" s="10">
        <v>14</v>
      </c>
      <c r="C3331" s="10">
        <v>20</v>
      </c>
      <c r="D3331" s="10" t="s">
        <v>1</v>
      </c>
      <c r="E3331" s="15">
        <f>1.4-0.111-0.359-0.061-0.075-0.175-0.401-0.04-0.075</f>
        <v>0.10299999999999997</v>
      </c>
    </row>
    <row r="3332" spans="1:5" x14ac:dyDescent="0.3">
      <c r="A3332" s="8">
        <v>219</v>
      </c>
      <c r="B3332" s="8">
        <v>14</v>
      </c>
      <c r="C3332" s="8">
        <v>20</v>
      </c>
      <c r="D3332" s="8" t="s">
        <v>1</v>
      </c>
      <c r="E3332" s="9">
        <v>5</v>
      </c>
    </row>
    <row r="3333" spans="1:5" x14ac:dyDescent="0.3">
      <c r="A3333" s="10">
        <v>219</v>
      </c>
      <c r="B3333" s="10">
        <v>14</v>
      </c>
      <c r="C3333" s="10" t="s">
        <v>26</v>
      </c>
      <c r="D3333" s="10" t="s">
        <v>22</v>
      </c>
      <c r="E3333" s="15">
        <f>0.814+1.408-0.097-0.219-0.745-0.146-0.076</f>
        <v>0.93900000000000017</v>
      </c>
    </row>
    <row r="3334" spans="1:5" x14ac:dyDescent="0.3">
      <c r="A3334" s="10">
        <v>219</v>
      </c>
      <c r="B3334" s="10">
        <v>14</v>
      </c>
      <c r="C3334" s="10" t="s">
        <v>26</v>
      </c>
      <c r="D3334" s="10" t="s">
        <v>1</v>
      </c>
      <c r="E3334" s="15">
        <f>5.33-0.059-0.054-0.052-0.287-0.296-0.077-0.219-0.146-0.145-0.159-0.03-0.037-0.075-0.075-0.583-0.431-0.347-0.181</f>
        <v>2.0769999999999995</v>
      </c>
    </row>
    <row r="3335" spans="1:5" x14ac:dyDescent="0.3">
      <c r="A3335" s="10">
        <v>219</v>
      </c>
      <c r="B3335" s="10">
        <v>14</v>
      </c>
      <c r="C3335" s="10" t="s">
        <v>26</v>
      </c>
      <c r="D3335" s="10" t="s">
        <v>1</v>
      </c>
      <c r="E3335" s="15">
        <f>0.444-0.11-0.105-0.148-0.026</f>
        <v>5.5000000000000049E-2</v>
      </c>
    </row>
    <row r="3336" spans="1:5" x14ac:dyDescent="0.3">
      <c r="A3336" s="10">
        <v>219</v>
      </c>
      <c r="B3336" s="10">
        <v>14</v>
      </c>
      <c r="C3336" s="10" t="s">
        <v>26</v>
      </c>
      <c r="D3336" s="10" t="s">
        <v>64</v>
      </c>
      <c r="E3336" s="15">
        <f>6.81-0.075-0.119-0.077-0.084-0.105-0.032-0.119-0.12-0.04</f>
        <v>6.0389999999999997</v>
      </c>
    </row>
    <row r="3337" spans="1:5" x14ac:dyDescent="0.3">
      <c r="A3337" s="10">
        <v>219</v>
      </c>
      <c r="B3337" s="10">
        <v>14</v>
      </c>
      <c r="C3337" s="13" t="s">
        <v>37</v>
      </c>
      <c r="D3337" s="10" t="s">
        <v>1</v>
      </c>
      <c r="E3337" s="15">
        <f>1.33-0.223+0.046-0.041-0.113+2.406-0.036-0.254-0.076-0.295-0.046+0.026+0.019+3.223+0.022-0.081-0.092-0.339-0.157-0.098-0.076-0.225-0.027-0.046-0.277-0.077-0.099-0.04-0.076</f>
        <v>4.2780000000000005</v>
      </c>
    </row>
    <row r="3338" spans="1:5" x14ac:dyDescent="0.3">
      <c r="A3338" s="10">
        <v>219</v>
      </c>
      <c r="B3338" s="10">
        <v>14</v>
      </c>
      <c r="C3338" s="10" t="s">
        <v>28</v>
      </c>
      <c r="D3338" s="10" t="s">
        <v>1</v>
      </c>
      <c r="E3338" s="15">
        <f>10.28+0.84-0.069</f>
        <v>11.050999999999998</v>
      </c>
    </row>
    <row r="3339" spans="1:5" x14ac:dyDescent="0.3">
      <c r="A3339" s="10">
        <v>219</v>
      </c>
      <c r="B3339" s="10">
        <v>14</v>
      </c>
      <c r="C3339" s="10" t="s">
        <v>30</v>
      </c>
      <c r="D3339" s="10" t="s">
        <v>1</v>
      </c>
      <c r="E3339" s="15">
        <f>5.06-0.011</f>
        <v>5.0489999999999995</v>
      </c>
    </row>
    <row r="3340" spans="1:5" x14ac:dyDescent="0.3">
      <c r="A3340" s="10">
        <v>219</v>
      </c>
      <c r="B3340" s="10">
        <v>14</v>
      </c>
      <c r="C3340" s="10" t="s">
        <v>29</v>
      </c>
      <c r="D3340" s="10" t="s">
        <v>3</v>
      </c>
      <c r="E3340" s="15">
        <f>4.816-0.074-0.075-0.079-0.495-0.052-0.156-0.075</f>
        <v>3.81</v>
      </c>
    </row>
    <row r="3341" spans="1:5" x14ac:dyDescent="0.3">
      <c r="A3341" s="10">
        <v>219</v>
      </c>
      <c r="B3341" s="10">
        <v>15</v>
      </c>
      <c r="C3341" s="10">
        <v>20</v>
      </c>
      <c r="D3341" s="10" t="s">
        <v>22</v>
      </c>
      <c r="E3341" s="15">
        <f>1.661-0.211-0.955</f>
        <v>0.495</v>
      </c>
    </row>
    <row r="3342" spans="1:5" x14ac:dyDescent="0.3">
      <c r="A3342" s="10">
        <v>219</v>
      </c>
      <c r="B3342" s="10">
        <v>15</v>
      </c>
      <c r="C3342" s="10" t="s">
        <v>26</v>
      </c>
      <c r="D3342" s="10" t="s">
        <v>22</v>
      </c>
      <c r="E3342" s="15">
        <v>0.90600000000000003</v>
      </c>
    </row>
    <row r="3343" spans="1:5" x14ac:dyDescent="0.3">
      <c r="A3343" s="10">
        <v>219</v>
      </c>
      <c r="B3343" s="10">
        <v>16</v>
      </c>
      <c r="C3343" s="10">
        <v>20</v>
      </c>
      <c r="D3343" s="10" t="s">
        <v>7</v>
      </c>
      <c r="E3343" s="15">
        <f>1.602+0.485-0.486-0.225-0.029-0.174-0.328-0.199-0.045-0.035</f>
        <v>0.56600000000000006</v>
      </c>
    </row>
    <row r="3344" spans="1:5" x14ac:dyDescent="0.3">
      <c r="A3344" s="8">
        <v>219</v>
      </c>
      <c r="B3344" s="8">
        <v>16</v>
      </c>
      <c r="C3344" s="8">
        <v>20</v>
      </c>
      <c r="D3344" s="8" t="s">
        <v>1</v>
      </c>
      <c r="E3344" s="9">
        <v>5</v>
      </c>
    </row>
    <row r="3345" spans="1:5" x14ac:dyDescent="0.3">
      <c r="A3345" s="10">
        <v>219</v>
      </c>
      <c r="B3345" s="10">
        <v>16</v>
      </c>
      <c r="C3345" s="10" t="s">
        <v>39</v>
      </c>
      <c r="D3345" s="10" t="s">
        <v>132</v>
      </c>
      <c r="E3345" s="15">
        <f>2.77-0.07-0.118-0.279-0.041</f>
        <v>2.2620000000000005</v>
      </c>
    </row>
    <row r="3346" spans="1:5" x14ac:dyDescent="0.3">
      <c r="A3346" s="8">
        <v>219</v>
      </c>
      <c r="B3346" s="8">
        <v>16</v>
      </c>
      <c r="C3346" s="8" t="s">
        <v>26</v>
      </c>
      <c r="D3346" s="8" t="s">
        <v>1</v>
      </c>
      <c r="E3346" s="9">
        <f>5.02-0.078-0.048-0.086+0.94-0.12-0.09-0.118-0.045-0.044-0.191-0.128-0.037-0.018-0.045-0.045-0.062-0.053-0.021-0.086-0.126-0.017-0.22-0.033-0.027-0.19-0.037-0.086-0.044-0.028-0.046-0.313-0.043-0.232-0.341-0.086-0.086-0.111-0.032-0.062-0.368-0.052-0.027-0.405-0.084-0.032-0.166-0.087-0.127-0.093-0.035-0.085-0.076-0.077-0.021</f>
        <v>0.74999999999999822</v>
      </c>
    </row>
    <row r="3347" spans="1:5" x14ac:dyDescent="0.3">
      <c r="A3347" s="8">
        <v>219</v>
      </c>
      <c r="B3347" s="8">
        <v>16</v>
      </c>
      <c r="C3347" s="10" t="s">
        <v>26</v>
      </c>
      <c r="D3347" s="10" t="s">
        <v>46</v>
      </c>
      <c r="E3347" s="9">
        <f>0.93-0.085-0.044-0.165</f>
        <v>0.63600000000000001</v>
      </c>
    </row>
    <row r="3348" spans="1:5" x14ac:dyDescent="0.3">
      <c r="A3348" s="10">
        <v>219</v>
      </c>
      <c r="B3348" s="10">
        <v>16</v>
      </c>
      <c r="C3348" s="10" t="s">
        <v>37</v>
      </c>
      <c r="D3348" s="10" t="s">
        <v>1</v>
      </c>
      <c r="E3348" s="15">
        <f>0.898-0.053-0.038</f>
        <v>0.80699999999999994</v>
      </c>
    </row>
    <row r="3349" spans="1:5" x14ac:dyDescent="0.3">
      <c r="A3349" s="10">
        <v>219</v>
      </c>
      <c r="B3349" s="10">
        <v>16</v>
      </c>
      <c r="C3349" s="10" t="s">
        <v>28</v>
      </c>
      <c r="D3349" s="10" t="s">
        <v>1</v>
      </c>
      <c r="E3349" s="15">
        <f>1.705+1.85+0.615-0.563</f>
        <v>3.6070000000000002</v>
      </c>
    </row>
    <row r="3350" spans="1:5" x14ac:dyDescent="0.3">
      <c r="A3350" s="10">
        <v>219</v>
      </c>
      <c r="B3350" s="10">
        <v>16</v>
      </c>
      <c r="C3350" s="10" t="s">
        <v>28</v>
      </c>
      <c r="D3350" s="10" t="s">
        <v>1</v>
      </c>
      <c r="E3350" s="15">
        <f>1.13-0.087</f>
        <v>1.0429999999999999</v>
      </c>
    </row>
    <row r="3351" spans="1:5" x14ac:dyDescent="0.3">
      <c r="A3351" s="10">
        <v>219</v>
      </c>
      <c r="B3351" s="10">
        <v>16</v>
      </c>
      <c r="C3351" s="10" t="s">
        <v>30</v>
      </c>
      <c r="D3351" s="10" t="s">
        <v>1</v>
      </c>
      <c r="E3351" s="15">
        <f>4.79-0.088-0.027-0.606-0.074-0.115-0.089-0.09-0.046-0.184-0.217</f>
        <v>3.254</v>
      </c>
    </row>
    <row r="3352" spans="1:5" x14ac:dyDescent="0.3">
      <c r="A3352" s="10">
        <v>219</v>
      </c>
      <c r="B3352" s="10">
        <v>16</v>
      </c>
      <c r="C3352" s="10" t="s">
        <v>29</v>
      </c>
      <c r="D3352" s="10" t="s">
        <v>3</v>
      </c>
      <c r="E3352" s="15">
        <f>4.802-0.165+0.066-0.084-0.085</f>
        <v>4.5339999999999998</v>
      </c>
    </row>
    <row r="3353" spans="1:5" x14ac:dyDescent="0.3">
      <c r="A3353" s="10">
        <v>219</v>
      </c>
      <c r="B3353" s="10">
        <v>17</v>
      </c>
      <c r="C3353" s="10" t="s">
        <v>26</v>
      </c>
      <c r="D3353" s="10" t="s">
        <v>1</v>
      </c>
      <c r="E3353" s="15">
        <f>5.32-0.028-0.257-0.09-0.047-0.936-0.129-0.472-0.124-0.09-0.553-0.09-0.073-0.03</f>
        <v>2.401000000000002</v>
      </c>
    </row>
    <row r="3354" spans="1:5" x14ac:dyDescent="0.3">
      <c r="A3354" s="8">
        <v>219</v>
      </c>
      <c r="B3354" s="8">
        <v>18</v>
      </c>
      <c r="C3354" s="8">
        <v>20</v>
      </c>
      <c r="D3354" s="8" t="s">
        <v>1</v>
      </c>
      <c r="E3354" s="9">
        <v>5</v>
      </c>
    </row>
    <row r="3355" spans="1:5" x14ac:dyDescent="0.3">
      <c r="A3355" s="8">
        <v>219</v>
      </c>
      <c r="B3355" s="8">
        <v>18</v>
      </c>
      <c r="C3355" s="8">
        <v>45</v>
      </c>
      <c r="D3355" s="8" t="s">
        <v>1</v>
      </c>
      <c r="E3355" s="9">
        <v>5</v>
      </c>
    </row>
    <row r="3356" spans="1:5" x14ac:dyDescent="0.3">
      <c r="A3356" s="8">
        <v>219</v>
      </c>
      <c r="B3356" s="8">
        <v>18</v>
      </c>
      <c r="C3356" s="10" t="s">
        <v>146</v>
      </c>
      <c r="D3356" s="10" t="s">
        <v>92</v>
      </c>
      <c r="E3356" s="9">
        <v>0.71599999999999997</v>
      </c>
    </row>
    <row r="3357" spans="1:5" x14ac:dyDescent="0.3">
      <c r="A3357" s="10">
        <v>219</v>
      </c>
      <c r="B3357" s="10">
        <v>18</v>
      </c>
      <c r="C3357" s="10" t="s">
        <v>65</v>
      </c>
      <c r="D3357" s="10" t="s">
        <v>77</v>
      </c>
      <c r="E3357" s="15">
        <v>6.3339999999999996</v>
      </c>
    </row>
    <row r="3358" spans="1:5" x14ac:dyDescent="0.3">
      <c r="A3358" s="8">
        <v>219</v>
      </c>
      <c r="B3358" s="8">
        <v>18</v>
      </c>
      <c r="C3358" s="8" t="s">
        <v>37</v>
      </c>
      <c r="D3358" s="8" t="s">
        <v>1</v>
      </c>
      <c r="E3358" s="9">
        <f>14.961-0.123-0.08-0.53-0.063-6.122-0.034-0.147-0.362-0.318+0.013-0.159-0.04-0.82-0.129+2.071-0.027+0.606-0.185-0.059-0.139-0.065-0.424+0.424</f>
        <v>8.2490000000000023</v>
      </c>
    </row>
    <row r="3359" spans="1:5" x14ac:dyDescent="0.3">
      <c r="A3359" s="10">
        <v>219</v>
      </c>
      <c r="B3359" s="10">
        <v>18</v>
      </c>
      <c r="C3359" s="10" t="s">
        <v>28</v>
      </c>
      <c r="D3359" s="10" t="s">
        <v>1</v>
      </c>
      <c r="E3359" s="15">
        <f>7.045-0.186+2.35+3.885-0.462-0.131-0.815-0.095</f>
        <v>11.590999999999999</v>
      </c>
    </row>
    <row r="3360" spans="1:5" x14ac:dyDescent="0.3">
      <c r="A3360" s="10">
        <v>219</v>
      </c>
      <c r="B3360" s="10">
        <v>18</v>
      </c>
      <c r="C3360" s="10" t="s">
        <v>28</v>
      </c>
      <c r="D3360" s="10" t="s">
        <v>1</v>
      </c>
      <c r="E3360" s="15">
        <f>2.34-0.142-0.626</f>
        <v>1.5720000000000001</v>
      </c>
    </row>
    <row r="3361" spans="1:5" x14ac:dyDescent="0.3">
      <c r="A3361" s="8">
        <v>219</v>
      </c>
      <c r="B3361" s="8">
        <v>18</v>
      </c>
      <c r="C3361" s="8" t="s">
        <v>30</v>
      </c>
      <c r="D3361" s="8" t="s">
        <v>1</v>
      </c>
      <c r="E3361" s="9">
        <v>5</v>
      </c>
    </row>
    <row r="3362" spans="1:5" x14ac:dyDescent="0.3">
      <c r="A3362" s="10">
        <v>219</v>
      </c>
      <c r="B3362" s="10">
        <v>18</v>
      </c>
      <c r="C3362" s="10" t="s">
        <v>31</v>
      </c>
      <c r="D3362" s="10" t="s">
        <v>32</v>
      </c>
      <c r="E3362" s="15">
        <f>5.919-0.108+1.39+0.035+0.611-0.126-0.866-3.96-0.036-0.178-0.043-1.053-0.6-0.021-0.077-0.622-0.063</f>
        <v>0.20199999999999957</v>
      </c>
    </row>
    <row r="3363" spans="1:5" x14ac:dyDescent="0.3">
      <c r="A3363" s="8">
        <v>219</v>
      </c>
      <c r="B3363" s="8">
        <v>18</v>
      </c>
      <c r="C3363" s="8" t="s">
        <v>29</v>
      </c>
      <c r="D3363" s="8" t="s">
        <v>3</v>
      </c>
      <c r="E3363" s="9">
        <f>4.851-0.049-0.023</f>
        <v>4.7789999999999999</v>
      </c>
    </row>
    <row r="3364" spans="1:5" x14ac:dyDescent="0.3">
      <c r="A3364" s="8">
        <v>219</v>
      </c>
      <c r="B3364" s="8">
        <v>20</v>
      </c>
      <c r="C3364" s="8">
        <v>20</v>
      </c>
      <c r="D3364" s="8" t="s">
        <v>1</v>
      </c>
      <c r="E3364" s="9">
        <v>5</v>
      </c>
    </row>
    <row r="3365" spans="1:5" x14ac:dyDescent="0.3">
      <c r="A3365" s="10">
        <v>219</v>
      </c>
      <c r="B3365" s="10">
        <v>20</v>
      </c>
      <c r="C3365" s="10" t="s">
        <v>26</v>
      </c>
      <c r="D3365" s="10" t="s">
        <v>1</v>
      </c>
      <c r="E3365" s="15">
        <f>16.275+19.445+19.488+50.163-0.051-1.033-0.332-0.207-1.056-0.507+21.632+35.397-0.205-0.256-0.054-0.11-0.056-1.097-0.037-0.105-0.205-2.148-0.205-0.067-0.075-0.144-0.206-0.315-0.236-0.106-0.328-0.106-0.239-0.106-0.106-1.087-0.256-0.315-0.255-0.174-0.043-0.157-0.056-0.031-0.207-0.443-0.176-0.378-0.206-0.153-0.077-0.174-0.055-0.307-0.186-0.207-0.709</f>
        <v>147.04999999999998</v>
      </c>
    </row>
    <row r="3366" spans="1:5" x14ac:dyDescent="0.3">
      <c r="A3366" s="10">
        <v>219</v>
      </c>
      <c r="B3366" s="10">
        <v>20</v>
      </c>
      <c r="C3366" s="10">
        <v>35</v>
      </c>
      <c r="D3366" s="10" t="s">
        <v>1</v>
      </c>
      <c r="E3366" s="15">
        <f>2.988-0.659-0.722-0.324-0.248-0.301+0.015-0.03-0.074-0.055-0.103-0.444-0.021</f>
        <v>2.1999999999999759E-2</v>
      </c>
    </row>
    <row r="3367" spans="1:5" x14ac:dyDescent="0.3">
      <c r="A3367" s="10">
        <v>219</v>
      </c>
      <c r="B3367" s="10">
        <v>20</v>
      </c>
      <c r="C3367" s="10">
        <v>35</v>
      </c>
      <c r="D3367" s="10" t="s">
        <v>1</v>
      </c>
      <c r="E3367" s="15">
        <f>2.68-0.153-0.153-0.132-0.085-0.053-0.692-0.12-0.044-0.044-0.044-0.692-0.202-0.053+5.9-1.3-0.154-0.064-0.774</f>
        <v>3.8210000000000006</v>
      </c>
    </row>
    <row r="3368" spans="1:5" x14ac:dyDescent="0.3">
      <c r="A3368" s="10">
        <v>219</v>
      </c>
      <c r="B3368" s="10">
        <v>20</v>
      </c>
      <c r="C3368" s="10" t="s">
        <v>28</v>
      </c>
      <c r="D3368" s="10" t="s">
        <v>1</v>
      </c>
      <c r="E3368" s="15">
        <v>0.86</v>
      </c>
    </row>
    <row r="3369" spans="1:5" x14ac:dyDescent="0.3">
      <c r="A3369" s="10">
        <v>219</v>
      </c>
      <c r="B3369" s="10">
        <v>20</v>
      </c>
      <c r="C3369" s="10" t="s">
        <v>28</v>
      </c>
      <c r="D3369" s="10" t="s">
        <v>1</v>
      </c>
      <c r="E3369" s="15">
        <f>0.855+2.545-0.02-0.103-0.068</f>
        <v>3.2089999999999996</v>
      </c>
    </row>
    <row r="3370" spans="1:5" x14ac:dyDescent="0.3">
      <c r="A3370" s="10">
        <v>219</v>
      </c>
      <c r="B3370" s="10">
        <v>20</v>
      </c>
      <c r="C3370" s="10" t="s">
        <v>30</v>
      </c>
      <c r="D3370" s="10" t="s">
        <v>1</v>
      </c>
      <c r="E3370" s="15">
        <f>2.57+5.375-0.045+2.67-0.316-0.564-0.104-0.104-0.562-0.238-0.045-0.45-0.416</f>
        <v>7.7710000000000026</v>
      </c>
    </row>
    <row r="3371" spans="1:5" x14ac:dyDescent="0.3">
      <c r="A3371" s="8">
        <v>219</v>
      </c>
      <c r="B3371" s="8">
        <v>22</v>
      </c>
      <c r="C3371" s="8">
        <v>20</v>
      </c>
      <c r="D3371" s="8" t="s">
        <v>1</v>
      </c>
      <c r="E3371" s="9">
        <v>5</v>
      </c>
    </row>
    <row r="3372" spans="1:5" x14ac:dyDescent="0.3">
      <c r="A3372" s="8">
        <v>219</v>
      </c>
      <c r="B3372" s="8">
        <v>22</v>
      </c>
      <c r="C3372" s="8">
        <v>20</v>
      </c>
      <c r="D3372" s="8" t="s">
        <v>32</v>
      </c>
      <c r="E3372" s="9">
        <f>1.563-0.122-0.041</f>
        <v>1.4</v>
      </c>
    </row>
    <row r="3373" spans="1:5" x14ac:dyDescent="0.3">
      <c r="A3373" s="8">
        <v>219</v>
      </c>
      <c r="B3373" s="8">
        <v>22</v>
      </c>
      <c r="C3373" s="12" t="s">
        <v>26</v>
      </c>
      <c r="D3373" s="8" t="s">
        <v>1</v>
      </c>
      <c r="E3373" s="9">
        <f>7.371+4.143-0.823-0.388-0.113-0.324-3.308-0.088-0.106-0.27-0.165-0.015-0.165-0.095-2.477-0.687-2.478+0.003</f>
        <v>1.500000000000001E-2</v>
      </c>
    </row>
    <row r="3374" spans="1:5" x14ac:dyDescent="0.3">
      <c r="A3374" s="10">
        <v>219</v>
      </c>
      <c r="B3374" s="10">
        <v>22</v>
      </c>
      <c r="C3374" s="10" t="s">
        <v>26</v>
      </c>
      <c r="D3374" s="10" t="s">
        <v>46</v>
      </c>
      <c r="E3374" s="15">
        <f>0.078-0.038</f>
        <v>0.04</v>
      </c>
    </row>
    <row r="3375" spans="1:5" x14ac:dyDescent="0.3">
      <c r="A3375" s="8">
        <v>219</v>
      </c>
      <c r="B3375" s="8">
        <v>22</v>
      </c>
      <c r="C3375" s="8">
        <v>45</v>
      </c>
      <c r="D3375" s="8" t="s">
        <v>1</v>
      </c>
      <c r="E3375" s="9">
        <v>5</v>
      </c>
    </row>
    <row r="3376" spans="1:5" x14ac:dyDescent="0.3">
      <c r="A3376" s="10">
        <v>219</v>
      </c>
      <c r="B3376" s="10">
        <v>22</v>
      </c>
      <c r="C3376" s="10" t="s">
        <v>28</v>
      </c>
      <c r="D3376" s="10" t="s">
        <v>1</v>
      </c>
      <c r="E3376" s="15">
        <f>2.86+0.9</f>
        <v>3.76</v>
      </c>
    </row>
    <row r="3377" spans="1:5" x14ac:dyDescent="0.3">
      <c r="A3377" s="10">
        <v>219</v>
      </c>
      <c r="B3377" s="10">
        <v>22</v>
      </c>
      <c r="C3377" s="10" t="s">
        <v>28</v>
      </c>
      <c r="D3377" s="10" t="s">
        <v>1</v>
      </c>
      <c r="E3377" s="15">
        <f>0.915-0.06-0.058</f>
        <v>0.79699999999999993</v>
      </c>
    </row>
    <row r="3378" spans="1:5" x14ac:dyDescent="0.3">
      <c r="A3378" s="8">
        <v>219</v>
      </c>
      <c r="B3378" s="8">
        <v>22</v>
      </c>
      <c r="C3378" s="8" t="s">
        <v>30</v>
      </c>
      <c r="D3378" s="8" t="s">
        <v>1</v>
      </c>
      <c r="E3378" s="9">
        <v>5</v>
      </c>
    </row>
    <row r="3379" spans="1:5" x14ac:dyDescent="0.3">
      <c r="A3379" s="8">
        <v>219</v>
      </c>
      <c r="B3379" s="8">
        <v>22</v>
      </c>
      <c r="C3379" s="10" t="s">
        <v>31</v>
      </c>
      <c r="D3379" s="10" t="s">
        <v>32</v>
      </c>
      <c r="E3379" s="9">
        <f>1.258+0.67-0.633-0.145-0.249-0.269-0.429</f>
        <v>0.2029999999999999</v>
      </c>
    </row>
    <row r="3380" spans="1:5" x14ac:dyDescent="0.3">
      <c r="A3380" s="8">
        <v>219</v>
      </c>
      <c r="B3380" s="8">
        <v>24</v>
      </c>
      <c r="C3380" s="10" t="s">
        <v>146</v>
      </c>
      <c r="D3380" s="10" t="s">
        <v>92</v>
      </c>
      <c r="E3380" s="9">
        <v>0.56899999999999995</v>
      </c>
    </row>
    <row r="3381" spans="1:5" x14ac:dyDescent="0.3">
      <c r="A3381" s="10">
        <v>219</v>
      </c>
      <c r="B3381" s="10">
        <v>25</v>
      </c>
      <c r="C3381" s="10">
        <v>20</v>
      </c>
      <c r="D3381" s="10" t="s">
        <v>1</v>
      </c>
      <c r="E3381" s="15">
        <f>8.744-0.96-0.02-0.097-0.484-0.961-0.179-0.972-0.179-0.126-0.021-0.363-0.023-0.245-0.183-0.108-0.414-0.189-0.259-0.064-0.894-0.015-0.077-0.167-0.07-0.245-0.186-0.077-0.089-1.038-0.047+0.017</f>
        <v>8.9999999999999247E-3</v>
      </c>
    </row>
    <row r="3382" spans="1:5" x14ac:dyDescent="0.3">
      <c r="A3382" s="10">
        <v>219</v>
      </c>
      <c r="B3382" s="10">
        <v>25</v>
      </c>
      <c r="C3382" s="10">
        <v>20</v>
      </c>
      <c r="D3382" s="10" t="s">
        <v>1</v>
      </c>
      <c r="E3382" s="15">
        <f>1.194+10.918+13.119-0.73-0.071-0.071-0.378-0.168-0.11-0.045-0.126-0.124-0.174-0.244-0.131-0.077-0.077-0.94-0.002-0.089-0.186-0.052-0.066-0.13-0.046-0.024-0.04-0.252-0.221-0.245-0.065-0.064-0.045-0.069-0.092-0.034-0.041-0.306-0.096-0.204-0.246-0.052-0.13-0.162-0.046-0.066-0.13-0.209-0.358-0.369-0.065-0.126-0.306-0.041-0.126-0.124-0.11-0.054-4.18-0.054-0.246-0.365-0.119-0.095-0.066-0.363-0.065-0.282-0.119-0.065-0.78-1.427-0.048-0.022-0.046-0.136-0.042-0.19-0.101-0.126-0.034-0.564-0.126-0.184-0.054-0.065-0.019-0.06</f>
        <v>6.6329999999999991</v>
      </c>
    </row>
    <row r="3383" spans="1:5" x14ac:dyDescent="0.3">
      <c r="A3383" s="10">
        <v>219</v>
      </c>
      <c r="B3383" s="10">
        <v>25</v>
      </c>
      <c r="C3383" s="10" t="s">
        <v>26</v>
      </c>
      <c r="D3383" s="10" t="s">
        <v>1</v>
      </c>
      <c r="E3383" s="15">
        <f>10.14-0.366-0.939-0.052-0.183-0.04-0.102-0.048-0.043-0.131-0.429-0.366-0.14-0.247-0.052-0.097-0.42-0.13-0.126-0.909-0.133-0.139-0.036-0.418-0.065-0.071</f>
        <v>4.4580000000000028</v>
      </c>
    </row>
    <row r="3384" spans="1:5" x14ac:dyDescent="0.3">
      <c r="A3384" s="8">
        <v>219</v>
      </c>
      <c r="B3384" s="8">
        <v>25</v>
      </c>
      <c r="C3384" s="8">
        <v>45</v>
      </c>
      <c r="D3384" s="8" t="s">
        <v>1</v>
      </c>
      <c r="E3384" s="9">
        <f>2.135-1.154-0.305-0.165</f>
        <v>0.5109999999999999</v>
      </c>
    </row>
    <row r="3385" spans="1:5" x14ac:dyDescent="0.3">
      <c r="A3385" s="10">
        <v>219</v>
      </c>
      <c r="B3385" s="10">
        <v>25</v>
      </c>
      <c r="C3385" s="10">
        <v>45</v>
      </c>
      <c r="D3385" s="10" t="s">
        <v>1</v>
      </c>
      <c r="E3385" s="15">
        <f>3.33+1.11</f>
        <v>4.4400000000000004</v>
      </c>
    </row>
    <row r="3386" spans="1:5" x14ac:dyDescent="0.3">
      <c r="A3386" s="8">
        <v>219</v>
      </c>
      <c r="B3386" s="8">
        <v>25</v>
      </c>
      <c r="C3386" s="8" t="s">
        <v>35</v>
      </c>
      <c r="D3386" s="8" t="s">
        <v>32</v>
      </c>
      <c r="E3386" s="9">
        <f>1.37+0.537-0.088-0.463-0.462-0.118-0.162</f>
        <v>0.61399999999999988</v>
      </c>
    </row>
    <row r="3387" spans="1:5" x14ac:dyDescent="0.3">
      <c r="A3387" s="10">
        <v>219</v>
      </c>
      <c r="B3387" s="10">
        <v>25</v>
      </c>
      <c r="C3387" s="10" t="s">
        <v>35</v>
      </c>
      <c r="D3387" s="10" t="s">
        <v>32</v>
      </c>
      <c r="E3387" s="15">
        <f>2.58+2.57-3.48</f>
        <v>1.6700000000000004</v>
      </c>
    </row>
    <row r="3388" spans="1:5" x14ac:dyDescent="0.3">
      <c r="A3388" s="10">
        <v>219</v>
      </c>
      <c r="B3388" s="10">
        <v>25</v>
      </c>
      <c r="C3388" s="10" t="s">
        <v>28</v>
      </c>
      <c r="D3388" s="10" t="s">
        <v>1</v>
      </c>
      <c r="E3388" s="15">
        <f>2.145+6.465+1.065-0.154-0.888-1.071-0.692-0.248-1.1-0.159-0.514-0.021-0.174-0.079</f>
        <v>4.5749999999999984</v>
      </c>
    </row>
    <row r="3389" spans="1:5" x14ac:dyDescent="0.3">
      <c r="A3389" s="10">
        <v>219</v>
      </c>
      <c r="B3389" s="10">
        <v>25</v>
      </c>
      <c r="C3389" s="10" t="s">
        <v>30</v>
      </c>
      <c r="D3389" s="10" t="s">
        <v>1</v>
      </c>
      <c r="E3389" s="15">
        <f>10.024-0.128-2.675-0.108-0.267-0.067-0.628-0.267-0.121-0.828-0.043-0.182-0.248-0.103-1.274-0.126-0.307-0.234-0.732-0.043-0.089-0.393-0.382-0.226</f>
        <v>0.5529999999999976</v>
      </c>
    </row>
    <row r="3390" spans="1:5" x14ac:dyDescent="0.3">
      <c r="A3390" s="10">
        <v>219</v>
      </c>
      <c r="B3390" s="10">
        <v>25</v>
      </c>
      <c r="C3390" s="10" t="s">
        <v>30</v>
      </c>
      <c r="D3390" s="10" t="s">
        <v>1</v>
      </c>
      <c r="E3390" s="15">
        <f>2.21+2.215</f>
        <v>4.4249999999999998</v>
      </c>
    </row>
    <row r="3391" spans="1:5" x14ac:dyDescent="0.3">
      <c r="A3391" s="8">
        <v>219</v>
      </c>
      <c r="B3391" s="8">
        <v>25</v>
      </c>
      <c r="C3391" s="8" t="s">
        <v>106</v>
      </c>
      <c r="D3391" s="8" t="s">
        <v>1</v>
      </c>
      <c r="E3391" s="9">
        <f>3.31+2.095-1.128</f>
        <v>4.2770000000000001</v>
      </c>
    </row>
    <row r="3392" spans="1:5" x14ac:dyDescent="0.3">
      <c r="A3392" s="10">
        <v>219</v>
      </c>
      <c r="B3392" s="10">
        <v>26</v>
      </c>
      <c r="C3392" s="10">
        <v>20</v>
      </c>
      <c r="D3392" s="10" t="s">
        <v>32</v>
      </c>
      <c r="E3392" s="15">
        <f>0.707-0.172</f>
        <v>0.53499999999999992</v>
      </c>
    </row>
    <row r="3393" spans="1:5" x14ac:dyDescent="0.3">
      <c r="A3393" s="10">
        <v>219</v>
      </c>
      <c r="B3393" s="10">
        <v>26</v>
      </c>
      <c r="C3393" s="10">
        <v>35</v>
      </c>
      <c r="D3393" s="10" t="s">
        <v>1</v>
      </c>
      <c r="E3393" s="15">
        <v>1.46</v>
      </c>
    </row>
    <row r="3394" spans="1:5" x14ac:dyDescent="0.3">
      <c r="A3394" s="10">
        <v>219</v>
      </c>
      <c r="B3394" s="10">
        <v>26</v>
      </c>
      <c r="C3394" s="10">
        <v>35</v>
      </c>
      <c r="D3394" s="10" t="s">
        <v>1</v>
      </c>
      <c r="E3394" s="15">
        <v>4.84</v>
      </c>
    </row>
    <row r="3395" spans="1:5" x14ac:dyDescent="0.3">
      <c r="A3395" s="8">
        <v>219</v>
      </c>
      <c r="B3395" s="8">
        <v>28</v>
      </c>
      <c r="C3395" s="8">
        <v>20</v>
      </c>
      <c r="D3395" s="8" t="s">
        <v>1</v>
      </c>
      <c r="E3395" s="9">
        <v>5</v>
      </c>
    </row>
    <row r="3396" spans="1:5" x14ac:dyDescent="0.3">
      <c r="A3396" s="10">
        <v>219</v>
      </c>
      <c r="B3396" s="10">
        <v>28</v>
      </c>
      <c r="C3396" s="10" t="s">
        <v>26</v>
      </c>
      <c r="D3396" s="10" t="s">
        <v>64</v>
      </c>
      <c r="E3396" s="15">
        <f>4.749-0.377-0.169-1.092-1.009-0.115-0.808-0.07-0.532-0.514+7.26-0.043-0.138-0.073-3.655-0.27-0.403-1.832-0.059-0.268-0.136-0.49+0.073</f>
        <v>2.9000000000000067E-2</v>
      </c>
    </row>
    <row r="3397" spans="1:5" x14ac:dyDescent="0.3">
      <c r="A3397" s="8">
        <v>219</v>
      </c>
      <c r="B3397" s="8">
        <v>28</v>
      </c>
      <c r="C3397" s="8" t="s">
        <v>26</v>
      </c>
      <c r="D3397" s="8" t="s">
        <v>64</v>
      </c>
      <c r="E3397" s="9">
        <f>3.86+3.74-0.406-0.101-0.125-0.101</f>
        <v>6.867</v>
      </c>
    </row>
    <row r="3398" spans="1:5" x14ac:dyDescent="0.3">
      <c r="A3398" s="10">
        <v>219</v>
      </c>
      <c r="B3398" s="10">
        <v>28</v>
      </c>
      <c r="C3398" s="10">
        <v>35</v>
      </c>
      <c r="D3398" s="10" t="s">
        <v>1</v>
      </c>
      <c r="E3398" s="15">
        <f>9.027-0.201-0.138-0.111-0.078-0.163-0.443-0.034-1.065-0.403-0.718-1.133-1.315</f>
        <v>3.2249999999999983</v>
      </c>
    </row>
    <row r="3399" spans="1:5" x14ac:dyDescent="0.3">
      <c r="A3399" s="10">
        <v>219</v>
      </c>
      <c r="B3399" s="10">
        <v>28</v>
      </c>
      <c r="C3399" s="10">
        <v>35</v>
      </c>
      <c r="D3399" s="10" t="s">
        <v>1</v>
      </c>
      <c r="E3399" s="15">
        <f>0.766-0.272-0.222</f>
        <v>0.27200000000000002</v>
      </c>
    </row>
    <row r="3400" spans="1:5" x14ac:dyDescent="0.3">
      <c r="A3400" s="10">
        <v>219</v>
      </c>
      <c r="B3400" s="10">
        <v>28</v>
      </c>
      <c r="C3400" s="10" t="s">
        <v>28</v>
      </c>
      <c r="D3400" s="10" t="s">
        <v>1</v>
      </c>
      <c r="E3400" s="15">
        <f>4.69+1.185-0.202-0.916</f>
        <v>4.7569999999999997</v>
      </c>
    </row>
    <row r="3401" spans="1:5" x14ac:dyDescent="0.3">
      <c r="A3401" s="8">
        <v>219</v>
      </c>
      <c r="B3401" s="8">
        <v>28</v>
      </c>
      <c r="C3401" s="8" t="s">
        <v>30</v>
      </c>
      <c r="D3401" s="8" t="s">
        <v>1</v>
      </c>
      <c r="E3401" s="9">
        <v>5</v>
      </c>
    </row>
    <row r="3402" spans="1:5" x14ac:dyDescent="0.3">
      <c r="A3402" s="8">
        <v>219</v>
      </c>
      <c r="B3402" s="8">
        <v>30</v>
      </c>
      <c r="C3402" s="8">
        <v>20</v>
      </c>
      <c r="D3402" s="8" t="s">
        <v>1</v>
      </c>
      <c r="E3402" s="9">
        <f>7.015+1.88-0.203-0.079-0.162-0.095-0.081-0.148-0.12-0.126</f>
        <v>7.8809999999999993</v>
      </c>
    </row>
    <row r="3403" spans="1:5" x14ac:dyDescent="0.3">
      <c r="A3403" s="10">
        <v>219</v>
      </c>
      <c r="B3403" s="10">
        <v>30</v>
      </c>
      <c r="C3403" s="10">
        <v>20</v>
      </c>
      <c r="D3403" s="10" t="s">
        <v>32</v>
      </c>
      <c r="E3403" s="15">
        <f>0.67-0.053-0.05-0.175-0.157-0.06-0.067+0.9</f>
        <v>1.008</v>
      </c>
    </row>
    <row r="3404" spans="1:5" x14ac:dyDescent="0.3">
      <c r="A3404" s="8">
        <v>219</v>
      </c>
      <c r="B3404" s="8">
        <v>30</v>
      </c>
      <c r="C3404" s="8">
        <v>45</v>
      </c>
      <c r="D3404" s="8" t="s">
        <v>1</v>
      </c>
      <c r="E3404" s="9">
        <f>4.69-0.216-1.039</f>
        <v>3.4350000000000005</v>
      </c>
    </row>
    <row r="3405" spans="1:5" x14ac:dyDescent="0.3">
      <c r="A3405" s="10">
        <v>219</v>
      </c>
      <c r="B3405" s="10">
        <v>30</v>
      </c>
      <c r="C3405" s="10" t="s">
        <v>28</v>
      </c>
      <c r="D3405" s="10" t="s">
        <v>1</v>
      </c>
      <c r="E3405" s="15">
        <f>3.089-0.222-0.405-0.128-0.292+7.64-2.049-0.222-2.008-0.733-0.306-0.293-0.44-0.122-0.056-0.15-0.148-0.279</f>
        <v>2.875999999999999</v>
      </c>
    </row>
    <row r="3406" spans="1:5" x14ac:dyDescent="0.3">
      <c r="A3406" s="10">
        <v>219</v>
      </c>
      <c r="B3406" s="10">
        <v>30</v>
      </c>
      <c r="C3406" s="10" t="s">
        <v>28</v>
      </c>
      <c r="D3406" s="10" t="s">
        <v>1</v>
      </c>
      <c r="E3406" s="15">
        <f>1.215+2.405+1.165-0.306+0.91</f>
        <v>5.3890000000000002</v>
      </c>
    </row>
    <row r="3407" spans="1:5" x14ac:dyDescent="0.3">
      <c r="A3407" s="10">
        <v>219</v>
      </c>
      <c r="B3407" s="10">
        <v>30</v>
      </c>
      <c r="C3407" s="10" t="s">
        <v>30</v>
      </c>
      <c r="D3407" s="10" t="s">
        <v>1</v>
      </c>
      <c r="E3407" s="15">
        <f>10.918-0.057-0.148-0.444-0.078-0.105-0.191-0.293-0.578-0.099-0.49-0.479-1.559-0.285-0.285-0.386-0.627-0.43-1.163-0.247-0.528+3.18-0.19</f>
        <v>5.4359999999999982</v>
      </c>
    </row>
    <row r="3408" spans="1:5" x14ac:dyDescent="0.3">
      <c r="A3408" s="10">
        <v>219</v>
      </c>
      <c r="B3408" s="10">
        <v>30</v>
      </c>
      <c r="C3408" s="10" t="s">
        <v>31</v>
      </c>
      <c r="D3408" s="10" t="s">
        <v>32</v>
      </c>
      <c r="E3408" s="15">
        <f>2.71-1.061-0.451-0.333-0.163-0.097-0.079</f>
        <v>0.52600000000000002</v>
      </c>
    </row>
    <row r="3409" spans="1:5" x14ac:dyDescent="0.3">
      <c r="A3409" s="10">
        <v>219</v>
      </c>
      <c r="B3409" s="10">
        <v>30</v>
      </c>
      <c r="C3409" s="10" t="s">
        <v>45</v>
      </c>
      <c r="D3409" s="10" t="s">
        <v>32</v>
      </c>
      <c r="E3409" s="15">
        <v>1.31</v>
      </c>
    </row>
    <row r="3410" spans="1:5" x14ac:dyDescent="0.3">
      <c r="A3410" s="10">
        <v>219</v>
      </c>
      <c r="B3410" s="10">
        <v>32</v>
      </c>
      <c r="C3410" s="10">
        <v>20</v>
      </c>
      <c r="D3410" s="10" t="s">
        <v>1</v>
      </c>
      <c r="E3410" s="15">
        <f>1.75-0.884</f>
        <v>0.86599999999999999</v>
      </c>
    </row>
    <row r="3411" spans="1:5" x14ac:dyDescent="0.3">
      <c r="A3411" s="10">
        <v>219</v>
      </c>
      <c r="B3411" s="10">
        <v>32</v>
      </c>
      <c r="C3411" s="10">
        <v>20</v>
      </c>
      <c r="D3411" s="10" t="s">
        <v>1</v>
      </c>
      <c r="E3411" s="15">
        <f>3.62-0.085-0.314-0.301-0.079</f>
        <v>2.8409999999999997</v>
      </c>
    </row>
    <row r="3412" spans="1:5" x14ac:dyDescent="0.3">
      <c r="A3412" s="8">
        <v>219</v>
      </c>
      <c r="B3412" s="8">
        <v>32</v>
      </c>
      <c r="C3412" s="8">
        <v>20</v>
      </c>
      <c r="D3412" s="8" t="s">
        <v>32</v>
      </c>
      <c r="E3412" s="9">
        <f>2.216-0.06+0.755</f>
        <v>2.911</v>
      </c>
    </row>
    <row r="3413" spans="1:5" x14ac:dyDescent="0.3">
      <c r="A3413" s="8">
        <v>219</v>
      </c>
      <c r="B3413" s="8">
        <v>32</v>
      </c>
      <c r="C3413" s="8">
        <v>20</v>
      </c>
      <c r="D3413" s="8" t="s">
        <v>32</v>
      </c>
      <c r="E3413" s="9">
        <f>2.248-0.755</f>
        <v>1.4930000000000003</v>
      </c>
    </row>
    <row r="3414" spans="1:5" x14ac:dyDescent="0.3">
      <c r="A3414" s="10">
        <v>219</v>
      </c>
      <c r="B3414" s="10">
        <v>32</v>
      </c>
      <c r="C3414" s="10" t="s">
        <v>26</v>
      </c>
      <c r="D3414" s="10" t="s">
        <v>64</v>
      </c>
      <c r="E3414" s="15">
        <f>2.48+3.48-0.933-0.516-0.116-0.222-0.319-0.553-0.272-0.333</f>
        <v>2.6959999999999997</v>
      </c>
    </row>
    <row r="3415" spans="1:5" x14ac:dyDescent="0.3">
      <c r="A3415" s="8">
        <v>219</v>
      </c>
      <c r="B3415" s="8">
        <v>32</v>
      </c>
      <c r="C3415" s="8">
        <v>35</v>
      </c>
      <c r="D3415" s="8" t="s">
        <v>1</v>
      </c>
      <c r="E3415" s="9">
        <v>5</v>
      </c>
    </row>
    <row r="3416" spans="1:5" x14ac:dyDescent="0.3">
      <c r="A3416" s="8">
        <v>219</v>
      </c>
      <c r="B3416" s="8">
        <v>32</v>
      </c>
      <c r="C3416" s="8">
        <v>45</v>
      </c>
      <c r="D3416" s="8" t="s">
        <v>1</v>
      </c>
      <c r="E3416" s="9">
        <v>5</v>
      </c>
    </row>
    <row r="3417" spans="1:5" x14ac:dyDescent="0.3">
      <c r="A3417" s="10">
        <v>219</v>
      </c>
      <c r="B3417" s="10">
        <v>32</v>
      </c>
      <c r="C3417" s="10" t="s">
        <v>28</v>
      </c>
      <c r="D3417" s="10" t="s">
        <v>1</v>
      </c>
      <c r="E3417" s="15">
        <f>2.415+1.21-0.04</f>
        <v>3.585</v>
      </c>
    </row>
    <row r="3418" spans="1:5" x14ac:dyDescent="0.3">
      <c r="A3418" s="10">
        <v>219</v>
      </c>
      <c r="B3418" s="10">
        <v>32</v>
      </c>
      <c r="C3418" s="10" t="s">
        <v>28</v>
      </c>
      <c r="D3418" s="10" t="s">
        <v>1</v>
      </c>
      <c r="E3418" s="15">
        <f>5-2.415-1.21</f>
        <v>1.375</v>
      </c>
    </row>
    <row r="3419" spans="1:5" x14ac:dyDescent="0.3">
      <c r="A3419" s="10">
        <v>219</v>
      </c>
      <c r="B3419" s="10">
        <v>32</v>
      </c>
      <c r="C3419" s="10" t="s">
        <v>30</v>
      </c>
      <c r="D3419" s="10" t="s">
        <v>1</v>
      </c>
      <c r="E3419" s="15">
        <v>3.63</v>
      </c>
    </row>
    <row r="3420" spans="1:5" x14ac:dyDescent="0.3">
      <c r="A3420" s="8">
        <v>219</v>
      </c>
      <c r="B3420" s="8">
        <v>32</v>
      </c>
      <c r="C3420" s="8" t="s">
        <v>30</v>
      </c>
      <c r="D3420" s="8" t="s">
        <v>1</v>
      </c>
      <c r="E3420" s="9">
        <v>5</v>
      </c>
    </row>
    <row r="3421" spans="1:5" x14ac:dyDescent="0.3">
      <c r="A3421" s="10">
        <v>219</v>
      </c>
      <c r="B3421" s="10">
        <v>32</v>
      </c>
      <c r="C3421" s="10" t="s">
        <v>31</v>
      </c>
      <c r="D3421" s="10" t="s">
        <v>32</v>
      </c>
      <c r="E3421" s="15">
        <f>1.98-0.161-0.482+1.76+5.95-0.166-0.185</f>
        <v>8.6959999999999997</v>
      </c>
    </row>
    <row r="3422" spans="1:5" x14ac:dyDescent="0.3">
      <c r="A3422" s="10">
        <v>219</v>
      </c>
      <c r="B3422" s="10">
        <v>32</v>
      </c>
      <c r="C3422" s="10" t="s">
        <v>45</v>
      </c>
      <c r="D3422" s="10" t="s">
        <v>32</v>
      </c>
      <c r="E3422" s="15">
        <f>10.4-0.223</f>
        <v>10.177</v>
      </c>
    </row>
    <row r="3423" spans="1:5" x14ac:dyDescent="0.3">
      <c r="A3423" s="8">
        <v>219</v>
      </c>
      <c r="B3423" s="8">
        <v>34</v>
      </c>
      <c r="C3423" s="8">
        <v>20</v>
      </c>
      <c r="D3423" s="8" t="s">
        <v>32</v>
      </c>
      <c r="E3423" s="9">
        <v>0.88</v>
      </c>
    </row>
    <row r="3424" spans="1:5" x14ac:dyDescent="0.3">
      <c r="A3424" s="10">
        <v>219</v>
      </c>
      <c r="B3424" s="10">
        <v>34</v>
      </c>
      <c r="C3424" s="10" t="s">
        <v>30</v>
      </c>
      <c r="D3424" s="10" t="s">
        <v>1</v>
      </c>
      <c r="E3424" s="15">
        <v>4.83</v>
      </c>
    </row>
    <row r="3425" spans="1:5" x14ac:dyDescent="0.3">
      <c r="A3425" s="8">
        <v>219</v>
      </c>
      <c r="B3425" s="8">
        <v>36</v>
      </c>
      <c r="C3425" s="8">
        <v>20</v>
      </c>
      <c r="D3425" s="8" t="s">
        <v>1</v>
      </c>
      <c r="E3425" s="9">
        <v>5</v>
      </c>
    </row>
    <row r="3426" spans="1:5" x14ac:dyDescent="0.3">
      <c r="A3426" s="10">
        <v>219</v>
      </c>
      <c r="B3426" s="10">
        <v>36</v>
      </c>
      <c r="C3426" s="10" t="s">
        <v>26</v>
      </c>
      <c r="D3426" s="10" t="s">
        <v>64</v>
      </c>
      <c r="E3426" s="15">
        <f>7.79-0.131-0.368-0.251-0.997-1.031-0.334-0.136-0.17-0.188-0.267-0.121-0.756-0.171-0.184-0.665-0.079-0.331-0.088-0.054-0.09-0.103-0.103-0.053</f>
        <v>1.119</v>
      </c>
    </row>
    <row r="3427" spans="1:5" x14ac:dyDescent="0.3">
      <c r="A3427" s="10">
        <v>219</v>
      </c>
      <c r="B3427" s="10">
        <v>36</v>
      </c>
      <c r="C3427" s="10">
        <v>35</v>
      </c>
      <c r="D3427" s="10" t="s">
        <v>1</v>
      </c>
      <c r="E3427" s="15">
        <f>5.99-0.959-0.08-0.349-1.021-0.313-0.171-1.015-2.048</f>
        <v>3.4000000000000696E-2</v>
      </c>
    </row>
    <row r="3428" spans="1:5" x14ac:dyDescent="0.3">
      <c r="A3428" s="10">
        <v>219</v>
      </c>
      <c r="B3428" s="10">
        <v>36</v>
      </c>
      <c r="C3428" s="10">
        <v>35</v>
      </c>
      <c r="D3428" s="10" t="s">
        <v>1</v>
      </c>
      <c r="E3428" s="15">
        <v>2.048</v>
      </c>
    </row>
    <row r="3429" spans="1:5" x14ac:dyDescent="0.3">
      <c r="A3429" s="8">
        <v>219</v>
      </c>
      <c r="B3429" s="8">
        <v>36</v>
      </c>
      <c r="C3429" s="8">
        <v>45</v>
      </c>
      <c r="D3429" s="8" t="s">
        <v>1</v>
      </c>
      <c r="E3429" s="9">
        <v>5</v>
      </c>
    </row>
    <row r="3430" spans="1:5" x14ac:dyDescent="0.3">
      <c r="A3430" s="10">
        <v>219</v>
      </c>
      <c r="B3430" s="10">
        <v>36</v>
      </c>
      <c r="C3430" s="10" t="s">
        <v>28</v>
      </c>
      <c r="D3430" s="10" t="s">
        <v>1</v>
      </c>
      <c r="E3430" s="15">
        <f>6.71+4.4-0.407-0.25</f>
        <v>10.452999999999999</v>
      </c>
    </row>
    <row r="3431" spans="1:5" x14ac:dyDescent="0.3">
      <c r="A3431" s="10">
        <v>219</v>
      </c>
      <c r="B3431" s="10">
        <v>36</v>
      </c>
      <c r="C3431" s="10" t="s">
        <v>30</v>
      </c>
      <c r="D3431" s="10" t="s">
        <v>1</v>
      </c>
      <c r="E3431" s="15">
        <f>1.11+2.275+1.15+4.51</f>
        <v>9.0449999999999999</v>
      </c>
    </row>
    <row r="3432" spans="1:5" x14ac:dyDescent="0.3">
      <c r="A3432" s="10">
        <v>219</v>
      </c>
      <c r="B3432" s="10">
        <v>36</v>
      </c>
      <c r="C3432" s="10" t="s">
        <v>30</v>
      </c>
      <c r="D3432" s="10" t="s">
        <v>1</v>
      </c>
      <c r="E3432" s="15">
        <v>2.2650000000000001</v>
      </c>
    </row>
    <row r="3433" spans="1:5" x14ac:dyDescent="0.3">
      <c r="A3433" s="8">
        <v>219</v>
      </c>
      <c r="B3433" s="8">
        <v>36</v>
      </c>
      <c r="C3433" s="8" t="s">
        <v>106</v>
      </c>
      <c r="D3433" s="8" t="s">
        <v>1</v>
      </c>
      <c r="E3433" s="9">
        <f>9.08+1.155-0.179-1.18-1.13-3.481-1.171-0.22</f>
        <v>2.8739999999999992</v>
      </c>
    </row>
    <row r="3434" spans="1:5" x14ac:dyDescent="0.3">
      <c r="A3434" s="8">
        <v>219</v>
      </c>
      <c r="B3434" s="8">
        <v>36</v>
      </c>
      <c r="C3434" s="8" t="s">
        <v>31</v>
      </c>
      <c r="D3434" s="8" t="s">
        <v>32</v>
      </c>
      <c r="E3434" s="9">
        <v>0.51900000000000002</v>
      </c>
    </row>
    <row r="3435" spans="1:5" x14ac:dyDescent="0.3">
      <c r="A3435" s="10">
        <v>219</v>
      </c>
      <c r="B3435" s="10">
        <v>38</v>
      </c>
      <c r="C3435" s="10" t="s">
        <v>28</v>
      </c>
      <c r="D3435" s="10" t="s">
        <v>1</v>
      </c>
      <c r="E3435" s="15">
        <f>2.24+2.19+2.255</f>
        <v>6.6849999999999996</v>
      </c>
    </row>
    <row r="3436" spans="1:5" x14ac:dyDescent="0.3">
      <c r="A3436" s="10">
        <v>219</v>
      </c>
      <c r="B3436" s="10">
        <v>38</v>
      </c>
      <c r="C3436" s="10" t="s">
        <v>30</v>
      </c>
      <c r="D3436" s="10" t="s">
        <v>1</v>
      </c>
      <c r="E3436" s="15">
        <f>2.255+3.36+2.275+2.245</f>
        <v>10.135000000000002</v>
      </c>
    </row>
    <row r="3437" spans="1:5" x14ac:dyDescent="0.3">
      <c r="A3437" s="8">
        <v>219</v>
      </c>
      <c r="B3437" s="8">
        <v>40</v>
      </c>
      <c r="C3437" s="8">
        <v>20</v>
      </c>
      <c r="D3437" s="8" t="s">
        <v>1</v>
      </c>
      <c r="E3437" s="9">
        <v>5</v>
      </c>
    </row>
    <row r="3438" spans="1:5" x14ac:dyDescent="0.3">
      <c r="A3438" s="10">
        <v>219</v>
      </c>
      <c r="B3438" s="10">
        <v>40</v>
      </c>
      <c r="C3438" s="10">
        <v>20</v>
      </c>
      <c r="D3438" s="10" t="s">
        <v>32</v>
      </c>
      <c r="E3438" s="15">
        <f>0.76-0.193-0.103-0.066+6.37-0.419-0.334-0.583-0.39-0.583-0.204</f>
        <v>4.2550000000000008</v>
      </c>
    </row>
    <row r="3439" spans="1:5" x14ac:dyDescent="0.3">
      <c r="A3439" s="10">
        <v>219</v>
      </c>
      <c r="B3439" s="10">
        <v>40</v>
      </c>
      <c r="C3439" s="10" t="s">
        <v>26</v>
      </c>
      <c r="D3439" s="10" t="s">
        <v>1</v>
      </c>
      <c r="E3439" s="15">
        <f>5.28-0.048-0.184-1.521-0.057-0.831-0.891-0.913-0.414-0.363-0.126+0.106-0.022</f>
        <v>1.6000000000000215E-2</v>
      </c>
    </row>
    <row r="3440" spans="1:5" x14ac:dyDescent="0.3">
      <c r="A3440" s="10">
        <v>219</v>
      </c>
      <c r="B3440" s="10">
        <v>40</v>
      </c>
      <c r="C3440" s="10" t="s">
        <v>26</v>
      </c>
      <c r="D3440" s="10" t="s">
        <v>64</v>
      </c>
      <c r="E3440" s="15">
        <f>7.08-0.052-4.517-0.729-0.047-0.186+9.6-1.079-0.626-2.401-0.9-0.092-0.474-0.054-0.246-0.183-1.84-0.345-0.338-0.112-0.062-0.077-0.663-0.137</f>
        <v>1.5199999999999998</v>
      </c>
    </row>
    <row r="3441" spans="1:5" x14ac:dyDescent="0.3">
      <c r="A3441" s="10">
        <v>219</v>
      </c>
      <c r="B3441" s="10">
        <v>40</v>
      </c>
      <c r="C3441" s="10">
        <v>35</v>
      </c>
      <c r="D3441" s="10" t="s">
        <v>1</v>
      </c>
      <c r="E3441" s="15">
        <f>5.98-0.147-1.009</f>
        <v>4.8239999999999998</v>
      </c>
    </row>
    <row r="3442" spans="1:5" x14ac:dyDescent="0.3">
      <c r="A3442" s="8">
        <v>219</v>
      </c>
      <c r="B3442" s="8">
        <v>40</v>
      </c>
      <c r="C3442" s="8">
        <v>45</v>
      </c>
      <c r="D3442" s="8" t="s">
        <v>1</v>
      </c>
      <c r="E3442" s="9">
        <v>5</v>
      </c>
    </row>
    <row r="3443" spans="1:5" x14ac:dyDescent="0.3">
      <c r="A3443" s="10">
        <v>219</v>
      </c>
      <c r="B3443" s="10">
        <v>40</v>
      </c>
      <c r="C3443" s="10" t="s">
        <v>36</v>
      </c>
      <c r="D3443" s="10" t="s">
        <v>1</v>
      </c>
      <c r="E3443" s="15">
        <v>10.43</v>
      </c>
    </row>
    <row r="3444" spans="1:5" x14ac:dyDescent="0.3">
      <c r="A3444" s="10">
        <v>219</v>
      </c>
      <c r="B3444" s="10">
        <v>40</v>
      </c>
      <c r="C3444" s="10" t="s">
        <v>28</v>
      </c>
      <c r="D3444" s="10" t="s">
        <v>1</v>
      </c>
      <c r="E3444" s="15">
        <f>6.895-0.192-0.291-0.32-1.194-0.284-1.538-0.203-1.313-0.43-1.099</f>
        <v>3.0999999999999028E-2</v>
      </c>
    </row>
    <row r="3445" spans="1:5" x14ac:dyDescent="0.3">
      <c r="A3445" s="10">
        <v>219</v>
      </c>
      <c r="B3445" s="10">
        <v>40</v>
      </c>
      <c r="C3445" s="10" t="s">
        <v>28</v>
      </c>
      <c r="D3445" s="10" t="s">
        <v>1</v>
      </c>
      <c r="E3445" s="15">
        <f>2.19+2.205-0.185+1.105+3.31+1.11+2.14+1.11+2.2+2.2-0.957-0.303-0.543</f>
        <v>15.581999999999997</v>
      </c>
    </row>
    <row r="3446" spans="1:5" x14ac:dyDescent="0.3">
      <c r="A3446" s="10">
        <v>219</v>
      </c>
      <c r="B3446" s="10">
        <v>40</v>
      </c>
      <c r="C3446" s="10" t="s">
        <v>30</v>
      </c>
      <c r="D3446" s="10" t="s">
        <v>1</v>
      </c>
      <c r="E3446" s="15">
        <f>2.39+2.36+2.415+2.39-1.213-0.87</f>
        <v>7.4719999999999986</v>
      </c>
    </row>
    <row r="3447" spans="1:5" x14ac:dyDescent="0.3">
      <c r="A3447" s="8">
        <v>219</v>
      </c>
      <c r="B3447" s="8">
        <v>45</v>
      </c>
      <c r="C3447" s="8">
        <v>20</v>
      </c>
      <c r="D3447" s="8" t="s">
        <v>1</v>
      </c>
      <c r="E3447" s="9">
        <v>5</v>
      </c>
    </row>
    <row r="3448" spans="1:5" x14ac:dyDescent="0.3">
      <c r="A3448" s="8">
        <v>219</v>
      </c>
      <c r="B3448" s="8">
        <v>45</v>
      </c>
      <c r="C3448" s="8" t="s">
        <v>26</v>
      </c>
      <c r="D3448" s="8" t="s">
        <v>64</v>
      </c>
      <c r="E3448" s="9">
        <f>20.5-6.37-0.398-0.849-1.445-2.694-0.103-0.126-0.204-0.896-0.204-0.028-0.2</f>
        <v>6.9830000000000005</v>
      </c>
    </row>
    <row r="3449" spans="1:5" x14ac:dyDescent="0.3">
      <c r="A3449" s="10">
        <v>219</v>
      </c>
      <c r="B3449" s="10">
        <v>45</v>
      </c>
      <c r="C3449" s="10">
        <v>35</v>
      </c>
      <c r="D3449" s="10" t="s">
        <v>1</v>
      </c>
      <c r="E3449" s="15">
        <f>5.9-0.235-1.012-0.299</f>
        <v>4.3540000000000001</v>
      </c>
    </row>
    <row r="3450" spans="1:5" x14ac:dyDescent="0.3">
      <c r="A3450" s="8">
        <v>219</v>
      </c>
      <c r="B3450" s="8">
        <v>45</v>
      </c>
      <c r="C3450" s="8">
        <v>45</v>
      </c>
      <c r="D3450" s="8" t="s">
        <v>1</v>
      </c>
      <c r="E3450" s="9">
        <v>5</v>
      </c>
    </row>
    <row r="3451" spans="1:5" x14ac:dyDescent="0.3">
      <c r="A3451" s="10">
        <v>219</v>
      </c>
      <c r="B3451" s="10">
        <v>45</v>
      </c>
      <c r="C3451" s="10" t="s">
        <v>28</v>
      </c>
      <c r="D3451" s="10" t="s">
        <v>1</v>
      </c>
      <c r="E3451" s="15">
        <f>2.41+4.775-1.221-0.228-1.215-1.221-0.029-0.299+4.795-0.281-0.551+1.185+2.335-0.975-0.59-0.626-2.675-0.77</f>
        <v>4.8190000000000026</v>
      </c>
    </row>
    <row r="3452" spans="1:5" x14ac:dyDescent="0.3">
      <c r="A3452" s="10">
        <v>219</v>
      </c>
      <c r="B3452" s="10">
        <v>45</v>
      </c>
      <c r="C3452" s="10" t="s">
        <v>28</v>
      </c>
      <c r="D3452" s="10" t="s">
        <v>1</v>
      </c>
      <c r="E3452" s="15">
        <f>8.315-4.795-1.185</f>
        <v>2.3349999999999995</v>
      </c>
    </row>
    <row r="3453" spans="1:5" x14ac:dyDescent="0.3">
      <c r="A3453" s="10">
        <v>219</v>
      </c>
      <c r="B3453" s="10">
        <v>45</v>
      </c>
      <c r="C3453" s="10" t="s">
        <v>30</v>
      </c>
      <c r="D3453" s="10" t="s">
        <v>1</v>
      </c>
      <c r="E3453" s="15">
        <f>7.88-3.004-0.087-0.154</f>
        <v>4.6349999999999998</v>
      </c>
    </row>
    <row r="3454" spans="1:5" x14ac:dyDescent="0.3">
      <c r="A3454" s="8">
        <v>219</v>
      </c>
      <c r="B3454" s="8">
        <v>50</v>
      </c>
      <c r="C3454" s="8">
        <v>20</v>
      </c>
      <c r="D3454" s="8" t="s">
        <v>1</v>
      </c>
      <c r="E3454" s="9">
        <v>5</v>
      </c>
    </row>
    <row r="3455" spans="1:5" x14ac:dyDescent="0.3">
      <c r="A3455" s="10">
        <v>219</v>
      </c>
      <c r="B3455" s="10">
        <v>50</v>
      </c>
      <c r="C3455" s="10" t="s">
        <v>26</v>
      </c>
      <c r="D3455" s="10" t="s">
        <v>64</v>
      </c>
      <c r="E3455" s="15">
        <f>6.719-4.412-1.146+7.68-1.005-1.033-1.129-0.221-0.324-1.146-1.163-0.603-0.431-0.042-0.219</f>
        <v>1.5250000000000012</v>
      </c>
    </row>
    <row r="3456" spans="1:5" x14ac:dyDescent="0.3">
      <c r="A3456" s="10">
        <v>219</v>
      </c>
      <c r="B3456" s="10">
        <v>50</v>
      </c>
      <c r="C3456" s="10">
        <v>35</v>
      </c>
      <c r="D3456" s="10" t="s">
        <v>1</v>
      </c>
      <c r="E3456" s="15">
        <f>5.744+0.038-0.635-0.637-0.949-0.323-0.181-0.201-1.152-1.67</f>
        <v>3.400000000000003E-2</v>
      </c>
    </row>
    <row r="3457" spans="1:5" x14ac:dyDescent="0.3">
      <c r="A3457" s="8">
        <v>219</v>
      </c>
      <c r="B3457" s="8">
        <v>50</v>
      </c>
      <c r="C3457" s="8">
        <v>35</v>
      </c>
      <c r="D3457" s="8" t="s">
        <v>1</v>
      </c>
      <c r="E3457" s="9">
        <v>5</v>
      </c>
    </row>
    <row r="3458" spans="1:5" x14ac:dyDescent="0.3">
      <c r="A3458" s="10">
        <v>219</v>
      </c>
      <c r="B3458" s="10">
        <v>50</v>
      </c>
      <c r="C3458" s="10">
        <v>45</v>
      </c>
      <c r="D3458" s="10" t="s">
        <v>1</v>
      </c>
      <c r="E3458" s="15">
        <f>7.336-0.126-1.151-0.579-0.691-0.467-0.351-0.365</f>
        <v>3.6060000000000008</v>
      </c>
    </row>
    <row r="3459" spans="1:5" x14ac:dyDescent="0.3">
      <c r="A3459" s="10">
        <v>219</v>
      </c>
      <c r="B3459" s="10">
        <v>50</v>
      </c>
      <c r="C3459" s="10" t="s">
        <v>28</v>
      </c>
      <c r="D3459" s="10" t="s">
        <v>1</v>
      </c>
      <c r="E3459" s="15">
        <f>6.474-0.387-3.24-0.387-0.063-0.126-2.18-0.074+10.716-1.04+7.73-4.166-0.752-0.593-1.381-0.128-0.329-1.417-0.941-1.489-0.157-1.37-3.166-0.689-0.536+2.37-0.327</f>
        <v>2.3519999999999968</v>
      </c>
    </row>
    <row r="3460" spans="1:5" x14ac:dyDescent="0.3">
      <c r="A3460" s="10">
        <v>219</v>
      </c>
      <c r="B3460" s="10">
        <v>50</v>
      </c>
      <c r="C3460" s="10" t="s">
        <v>28</v>
      </c>
      <c r="D3460" s="10" t="s">
        <v>1</v>
      </c>
      <c r="E3460" s="15">
        <f>3.545+4.67</f>
        <v>8.2149999999999999</v>
      </c>
    </row>
    <row r="3461" spans="1:5" x14ac:dyDescent="0.3">
      <c r="A3461" s="10">
        <v>219</v>
      </c>
      <c r="B3461" s="10">
        <v>50</v>
      </c>
      <c r="C3461" s="10" t="s">
        <v>30</v>
      </c>
      <c r="D3461" s="10" t="s">
        <v>1</v>
      </c>
      <c r="E3461" s="15">
        <v>1.1100000000000001</v>
      </c>
    </row>
    <row r="3462" spans="1:5" x14ac:dyDescent="0.3">
      <c r="A3462" s="10">
        <v>219</v>
      </c>
      <c r="B3462" s="10">
        <v>50</v>
      </c>
      <c r="C3462" s="10" t="s">
        <v>30</v>
      </c>
      <c r="D3462" s="10" t="s">
        <v>1</v>
      </c>
      <c r="E3462" s="15">
        <f>6.68-1.149+2.24-0.642</f>
        <v>7.1289999999999996</v>
      </c>
    </row>
    <row r="3463" spans="1:5" x14ac:dyDescent="0.3">
      <c r="A3463" s="8">
        <v>219</v>
      </c>
      <c r="B3463" s="8">
        <v>50</v>
      </c>
      <c r="C3463" s="8" t="s">
        <v>106</v>
      </c>
      <c r="D3463" s="8" t="s">
        <v>1</v>
      </c>
      <c r="E3463" s="9">
        <f>10.29+2.235+2.21-1.114-1.179</f>
        <v>12.441999999999998</v>
      </c>
    </row>
    <row r="3464" spans="1:5" x14ac:dyDescent="0.3">
      <c r="A3464" s="10">
        <v>219</v>
      </c>
      <c r="B3464" s="10">
        <v>50</v>
      </c>
      <c r="C3464" s="10" t="s">
        <v>106</v>
      </c>
      <c r="D3464" s="10" t="s">
        <v>1</v>
      </c>
      <c r="E3464" s="15">
        <v>11.765000000000001</v>
      </c>
    </row>
    <row r="3465" spans="1:5" x14ac:dyDescent="0.3">
      <c r="A3465" s="10">
        <v>219</v>
      </c>
      <c r="B3465" s="10">
        <v>55</v>
      </c>
      <c r="C3465" s="10">
        <v>20</v>
      </c>
      <c r="D3465" s="10" t="s">
        <v>1</v>
      </c>
      <c r="E3465" s="15">
        <f>5.004-0.739-0.679-0.058-0.047-0.593-0.112</f>
        <v>2.7759999999999994</v>
      </c>
    </row>
    <row r="3466" spans="1:5" x14ac:dyDescent="0.3">
      <c r="A3466" s="10">
        <v>219</v>
      </c>
      <c r="B3466" s="10">
        <v>55</v>
      </c>
      <c r="C3466" s="10" t="s">
        <v>26</v>
      </c>
      <c r="D3466" s="10" t="s">
        <v>64</v>
      </c>
      <c r="E3466" s="15">
        <f>4.697-1.137</f>
        <v>3.56</v>
      </c>
    </row>
    <row r="3467" spans="1:5" x14ac:dyDescent="0.3">
      <c r="A3467" s="10">
        <v>219</v>
      </c>
      <c r="B3467" s="10">
        <v>55</v>
      </c>
      <c r="C3467" s="10" t="s">
        <v>28</v>
      </c>
      <c r="D3467" s="10" t="s">
        <v>1</v>
      </c>
      <c r="E3467" s="15">
        <f>2.323+3.453-0.059-1.164-0.569-0.902-0.258-1.151-0.034+2.315-0.35-0.35-0.392</f>
        <v>2.8619999999999997</v>
      </c>
    </row>
    <row r="3468" spans="1:5" x14ac:dyDescent="0.3">
      <c r="A3468" s="10">
        <v>219</v>
      </c>
      <c r="B3468" s="10">
        <v>55</v>
      </c>
      <c r="C3468" s="10" t="s">
        <v>28</v>
      </c>
      <c r="D3468" s="10" t="s">
        <v>1</v>
      </c>
      <c r="E3468" s="15">
        <f>2.37+1.185</f>
        <v>3.5550000000000002</v>
      </c>
    </row>
    <row r="3469" spans="1:5" x14ac:dyDescent="0.3">
      <c r="A3469" s="8">
        <v>219</v>
      </c>
      <c r="B3469" s="8">
        <v>60</v>
      </c>
      <c r="C3469" s="8">
        <v>20</v>
      </c>
      <c r="D3469" s="8" t="s">
        <v>1</v>
      </c>
      <c r="E3469" s="9">
        <v>10</v>
      </c>
    </row>
    <row r="3470" spans="1:5" x14ac:dyDescent="0.3">
      <c r="A3470" s="8">
        <v>219</v>
      </c>
      <c r="B3470" s="8">
        <v>60</v>
      </c>
      <c r="C3470" s="8">
        <v>35</v>
      </c>
      <c r="D3470" s="8" t="s">
        <v>1</v>
      </c>
      <c r="E3470" s="9">
        <v>5</v>
      </c>
    </row>
    <row r="3471" spans="1:5" x14ac:dyDescent="0.3">
      <c r="A3471" s="8">
        <v>219</v>
      </c>
      <c r="B3471" s="8">
        <v>60</v>
      </c>
      <c r="C3471" s="8">
        <v>45</v>
      </c>
      <c r="D3471" s="8" t="s">
        <v>1</v>
      </c>
      <c r="E3471" s="9">
        <v>5</v>
      </c>
    </row>
    <row r="3472" spans="1:5" x14ac:dyDescent="0.3">
      <c r="A3472" s="10">
        <v>219</v>
      </c>
      <c r="B3472" s="10">
        <v>60</v>
      </c>
      <c r="C3472" s="10" t="s">
        <v>28</v>
      </c>
      <c r="D3472" s="10" t="s">
        <v>1</v>
      </c>
      <c r="E3472" s="15">
        <f>2.58-1.078-0.543-0.874-0.13+0.26</f>
        <v>0.21499999999999997</v>
      </c>
    </row>
    <row r="3473" spans="1:5" x14ac:dyDescent="0.3">
      <c r="A3473" s="10">
        <v>219</v>
      </c>
      <c r="B3473" s="10">
        <v>60</v>
      </c>
      <c r="C3473" s="10" t="s">
        <v>28</v>
      </c>
      <c r="D3473" s="10" t="s">
        <v>1</v>
      </c>
      <c r="E3473" s="15">
        <f>1.336+2.642+6.858</f>
        <v>10.835999999999999</v>
      </c>
    </row>
    <row r="3474" spans="1:5" x14ac:dyDescent="0.3">
      <c r="A3474" s="8">
        <v>219</v>
      </c>
      <c r="B3474" s="8">
        <v>60</v>
      </c>
      <c r="C3474" s="8" t="s">
        <v>28</v>
      </c>
      <c r="D3474" s="8" t="s">
        <v>1</v>
      </c>
      <c r="E3474" s="9">
        <f>2.58-1.336</f>
        <v>1.244</v>
      </c>
    </row>
    <row r="3475" spans="1:5" x14ac:dyDescent="0.3">
      <c r="A3475" s="8">
        <v>219</v>
      </c>
      <c r="B3475" s="8">
        <v>60</v>
      </c>
      <c r="C3475" s="8" t="s">
        <v>30</v>
      </c>
      <c r="D3475" s="8" t="s">
        <v>1</v>
      </c>
      <c r="E3475" s="9">
        <v>5</v>
      </c>
    </row>
    <row r="3476" spans="1:5" x14ac:dyDescent="0.3">
      <c r="A3476" s="10">
        <v>222</v>
      </c>
      <c r="B3476" s="10">
        <v>16</v>
      </c>
      <c r="C3476" s="10">
        <v>20</v>
      </c>
      <c r="D3476" s="10" t="s">
        <v>1</v>
      </c>
      <c r="E3476" s="15">
        <f>0.32-0.244</f>
        <v>7.6000000000000012E-2</v>
      </c>
    </row>
    <row r="3477" spans="1:5" x14ac:dyDescent="0.3">
      <c r="A3477" s="8">
        <v>223</v>
      </c>
      <c r="B3477" s="8">
        <v>28</v>
      </c>
      <c r="C3477" s="8" t="s">
        <v>28</v>
      </c>
      <c r="D3477" s="10" t="s">
        <v>64</v>
      </c>
      <c r="E3477" s="9">
        <f>5.54-0.137-1.225-1.218-0.784-1.195-0.305+0.005+5.452-0.296-0.386-3.289-0.08-0.154</f>
        <v>1.9280000000000004</v>
      </c>
    </row>
    <row r="3478" spans="1:5" x14ac:dyDescent="0.3">
      <c r="A3478" s="10">
        <v>223</v>
      </c>
      <c r="B3478" s="10">
        <v>36</v>
      </c>
      <c r="C3478" s="10" t="s">
        <v>28</v>
      </c>
      <c r="D3478" s="10" t="s">
        <v>64</v>
      </c>
      <c r="E3478" s="15">
        <f>7.667-0.363</f>
        <v>7.3040000000000003</v>
      </c>
    </row>
    <row r="3479" spans="1:5" x14ac:dyDescent="0.3">
      <c r="A3479" s="8">
        <v>230</v>
      </c>
      <c r="B3479" s="8">
        <v>20</v>
      </c>
      <c r="C3479" s="8">
        <v>20</v>
      </c>
      <c r="D3479" s="8" t="s">
        <v>1</v>
      </c>
      <c r="E3479" s="9">
        <v>1.2350000000000001</v>
      </c>
    </row>
    <row r="3480" spans="1:5" x14ac:dyDescent="0.3">
      <c r="A3480" s="8">
        <v>230</v>
      </c>
      <c r="B3480" s="8">
        <v>20</v>
      </c>
      <c r="C3480" s="8">
        <v>20</v>
      </c>
      <c r="D3480" s="8" t="s">
        <v>1</v>
      </c>
      <c r="E3480" s="9">
        <v>5</v>
      </c>
    </row>
    <row r="3481" spans="1:5" x14ac:dyDescent="0.3">
      <c r="A3481" s="8">
        <v>230</v>
      </c>
      <c r="B3481" s="8">
        <v>20</v>
      </c>
      <c r="C3481" s="8" t="s">
        <v>26</v>
      </c>
      <c r="D3481" s="8" t="s">
        <v>1</v>
      </c>
      <c r="E3481" s="9">
        <f>10.607-0.574-0.32-0.629-0.109-0.57-0.061-0.038-1.146-0.192-0.032-0.067-0.318-0.14</f>
        <v>6.4109999999999996</v>
      </c>
    </row>
    <row r="3482" spans="1:5" x14ac:dyDescent="0.3">
      <c r="A3482" s="8">
        <v>230</v>
      </c>
      <c r="B3482" s="8">
        <v>20</v>
      </c>
      <c r="C3482" s="8">
        <v>35</v>
      </c>
      <c r="D3482" s="8" t="s">
        <v>110</v>
      </c>
      <c r="E3482" s="9">
        <v>5.6319999999999997</v>
      </c>
    </row>
    <row r="3483" spans="1:5" x14ac:dyDescent="0.3">
      <c r="A3483" s="8">
        <v>230</v>
      </c>
      <c r="B3483" s="8">
        <v>20</v>
      </c>
      <c r="C3483" s="8">
        <v>45</v>
      </c>
      <c r="D3483" s="8" t="s">
        <v>64</v>
      </c>
      <c r="E3483" s="9">
        <f>5.22-0.025-0.628-0.215-0.918-0.163-1.2-0.163</f>
        <v>1.9079999999999997</v>
      </c>
    </row>
    <row r="3484" spans="1:5" x14ac:dyDescent="0.3">
      <c r="A3484" s="8">
        <v>230</v>
      </c>
      <c r="B3484" s="8">
        <v>20</v>
      </c>
      <c r="C3484" s="8" t="s">
        <v>28</v>
      </c>
      <c r="D3484" s="8" t="s">
        <v>110</v>
      </c>
      <c r="E3484" s="9">
        <f>5.11-0.134</f>
        <v>4.976</v>
      </c>
    </row>
    <row r="3485" spans="1:5" x14ac:dyDescent="0.3">
      <c r="A3485" s="8">
        <v>230</v>
      </c>
      <c r="B3485" s="8">
        <v>20</v>
      </c>
      <c r="C3485" s="8" t="s">
        <v>30</v>
      </c>
      <c r="D3485" s="8" t="s">
        <v>110</v>
      </c>
      <c r="E3485" s="9">
        <f>5.153-0.219-0.069-0.047-0.12-0.304-0.331</f>
        <v>4.0629999999999988</v>
      </c>
    </row>
    <row r="3486" spans="1:5" x14ac:dyDescent="0.3">
      <c r="A3486" s="8">
        <v>230</v>
      </c>
      <c r="B3486" s="8">
        <v>20</v>
      </c>
      <c r="C3486" s="8" t="s">
        <v>30</v>
      </c>
      <c r="D3486" s="8" t="s">
        <v>1</v>
      </c>
      <c r="E3486" s="9">
        <f>5.39-5.153</f>
        <v>0.2370000000000001</v>
      </c>
    </row>
    <row r="3487" spans="1:5" x14ac:dyDescent="0.3">
      <c r="A3487" s="10">
        <v>230</v>
      </c>
      <c r="B3487" s="10">
        <v>25</v>
      </c>
      <c r="C3487" s="10">
        <v>20</v>
      </c>
      <c r="D3487" s="10" t="s">
        <v>1</v>
      </c>
      <c r="E3487" s="15">
        <f>5.445-0.036-0.07-0.069-0.951-0.042-0.052-0.036-0.194-0.035-0.069-0.035-0.26-0.513-0.207-0.393-0.272-0.159-0.05-0.108-0.362-0.108-0.196-0.107-0.079-1.186+0.188</f>
        <v>4.4000000000002315E-2</v>
      </c>
    </row>
    <row r="3488" spans="1:5" x14ac:dyDescent="0.3">
      <c r="A3488" s="8">
        <v>230</v>
      </c>
      <c r="B3488" s="8">
        <v>25</v>
      </c>
      <c r="C3488" s="8">
        <v>20</v>
      </c>
      <c r="D3488" s="8" t="s">
        <v>1</v>
      </c>
      <c r="E3488" s="9">
        <v>5</v>
      </c>
    </row>
    <row r="3489" spans="1:5" x14ac:dyDescent="0.3">
      <c r="A3489" s="10">
        <v>230</v>
      </c>
      <c r="B3489" s="10">
        <v>25</v>
      </c>
      <c r="C3489" s="10" t="s">
        <v>26</v>
      </c>
      <c r="D3489" s="10" t="s">
        <v>1</v>
      </c>
      <c r="E3489" s="15">
        <f>5.485+4.14-0.107-0.07-0.81+0.96-0.201-0.137-0.136-0.215</f>
        <v>8.9089999999999989</v>
      </c>
    </row>
    <row r="3490" spans="1:5" x14ac:dyDescent="0.3">
      <c r="A3490" s="10">
        <v>230</v>
      </c>
      <c r="B3490" s="10">
        <v>25</v>
      </c>
      <c r="C3490" s="10">
        <v>35</v>
      </c>
      <c r="D3490" s="10" t="s">
        <v>1</v>
      </c>
      <c r="E3490" s="15">
        <f>2.245+1.17+2.015-1.056-0.079-0.082-0.083-0.513</f>
        <v>3.617</v>
      </c>
    </row>
    <row r="3491" spans="1:5" x14ac:dyDescent="0.3">
      <c r="A3491" s="10">
        <v>230</v>
      </c>
      <c r="B3491" s="10">
        <v>25</v>
      </c>
      <c r="C3491" s="10">
        <v>45</v>
      </c>
      <c r="D3491" s="10" t="s">
        <v>1</v>
      </c>
      <c r="E3491" s="15">
        <f>3.99-0.159-0.068-0.027-0.021-1.113-0.026-0.618-0.032-0.287</f>
        <v>1.6390000000000007</v>
      </c>
    </row>
    <row r="3492" spans="1:5" x14ac:dyDescent="0.3">
      <c r="A3492" s="10">
        <v>230</v>
      </c>
      <c r="B3492" s="10">
        <v>25</v>
      </c>
      <c r="C3492" s="10" t="s">
        <v>28</v>
      </c>
      <c r="D3492" s="10" t="s">
        <v>1</v>
      </c>
      <c r="E3492" s="15">
        <f>6.439-0.617-0.094-0.08-0.447-0.675-1.283-0.641-0.083-0.652-0.656-0.387-0.018-0.487</f>
        <v>0.3189999999999994</v>
      </c>
    </row>
    <row r="3493" spans="1:5" x14ac:dyDescent="0.3">
      <c r="A3493" s="10">
        <v>230</v>
      </c>
      <c r="B3493" s="10">
        <v>25</v>
      </c>
      <c r="C3493" s="10" t="s">
        <v>28</v>
      </c>
      <c r="D3493" s="10" t="s">
        <v>1</v>
      </c>
      <c r="E3493" s="15">
        <f>2.67+2.665-0.307-0.36</f>
        <v>4.6679999999999993</v>
      </c>
    </row>
    <row r="3494" spans="1:5" x14ac:dyDescent="0.3">
      <c r="A3494" s="10">
        <v>230</v>
      </c>
      <c r="B3494" s="10">
        <v>25</v>
      </c>
      <c r="C3494" s="10" t="s">
        <v>30</v>
      </c>
      <c r="D3494" s="10" t="s">
        <v>64</v>
      </c>
      <c r="E3494" s="15">
        <f>4.795-1.01-0.022-0.279-2.047</f>
        <v>1.4370000000000003</v>
      </c>
    </row>
    <row r="3495" spans="1:5" x14ac:dyDescent="0.3">
      <c r="A3495" s="8">
        <v>230</v>
      </c>
      <c r="B3495" s="8">
        <v>25</v>
      </c>
      <c r="C3495" s="8" t="s">
        <v>30</v>
      </c>
      <c r="D3495" s="8" t="s">
        <v>1</v>
      </c>
      <c r="E3495" s="9">
        <v>5</v>
      </c>
    </row>
    <row r="3496" spans="1:5" x14ac:dyDescent="0.3">
      <c r="A3496" s="8">
        <v>230</v>
      </c>
      <c r="B3496" s="8">
        <v>30</v>
      </c>
      <c r="C3496" s="8">
        <v>20</v>
      </c>
      <c r="D3496" s="8" t="s">
        <v>64</v>
      </c>
      <c r="E3496" s="9">
        <v>5</v>
      </c>
    </row>
    <row r="3497" spans="1:5" x14ac:dyDescent="0.3">
      <c r="A3497" s="10">
        <v>230</v>
      </c>
      <c r="B3497" s="10">
        <v>30</v>
      </c>
      <c r="C3497" s="10" t="s">
        <v>26</v>
      </c>
      <c r="D3497" s="10" t="s">
        <v>1</v>
      </c>
      <c r="E3497" s="15">
        <f>1.13-0.677+2.435-0.151-1.503-0.46-0.491-0.155</f>
        <v>0.12800000000000025</v>
      </c>
    </row>
    <row r="3498" spans="1:5" x14ac:dyDescent="0.3">
      <c r="A3498" s="8">
        <v>230</v>
      </c>
      <c r="B3498" s="8">
        <v>30</v>
      </c>
      <c r="C3498" s="8" t="s">
        <v>26</v>
      </c>
      <c r="D3498" s="8" t="s">
        <v>1</v>
      </c>
      <c r="E3498" s="9">
        <f>5-2.435</f>
        <v>2.5649999999999999</v>
      </c>
    </row>
    <row r="3499" spans="1:5" x14ac:dyDescent="0.3">
      <c r="A3499" s="10">
        <v>230</v>
      </c>
      <c r="B3499" s="10">
        <v>30</v>
      </c>
      <c r="C3499" s="10">
        <v>35</v>
      </c>
      <c r="D3499" s="10" t="s">
        <v>1</v>
      </c>
      <c r="E3499" s="15">
        <v>10.765000000000001</v>
      </c>
    </row>
    <row r="3500" spans="1:5" x14ac:dyDescent="0.3">
      <c r="A3500" s="10">
        <v>230</v>
      </c>
      <c r="B3500" s="10">
        <v>30</v>
      </c>
      <c r="C3500" s="10">
        <v>45</v>
      </c>
      <c r="D3500" s="10" t="s">
        <v>1</v>
      </c>
      <c r="E3500" s="15">
        <f>3.4+2.1</f>
        <v>5.5</v>
      </c>
    </row>
    <row r="3501" spans="1:5" x14ac:dyDescent="0.3">
      <c r="A3501" s="10">
        <v>230</v>
      </c>
      <c r="B3501" s="10">
        <v>30</v>
      </c>
      <c r="C3501" s="10" t="s">
        <v>28</v>
      </c>
      <c r="D3501" s="10" t="s">
        <v>1</v>
      </c>
      <c r="E3501" s="15">
        <f>2.39+2.41-0.215-0.097-1.24-0.561-0.148</f>
        <v>2.5390000000000001</v>
      </c>
    </row>
    <row r="3502" spans="1:5" x14ac:dyDescent="0.3">
      <c r="A3502" s="8">
        <v>230</v>
      </c>
      <c r="B3502" s="8">
        <v>30</v>
      </c>
      <c r="C3502" s="8" t="s">
        <v>30</v>
      </c>
      <c r="D3502" s="8" t="s">
        <v>64</v>
      </c>
      <c r="E3502" s="9">
        <v>10</v>
      </c>
    </row>
    <row r="3503" spans="1:5" x14ac:dyDescent="0.3">
      <c r="A3503" s="8">
        <v>230</v>
      </c>
      <c r="B3503" s="8">
        <v>30</v>
      </c>
      <c r="C3503" s="8" t="s">
        <v>30</v>
      </c>
      <c r="D3503" s="8" t="s">
        <v>1</v>
      </c>
      <c r="E3503" s="9">
        <v>5</v>
      </c>
    </row>
    <row r="3504" spans="1:5" x14ac:dyDescent="0.3">
      <c r="A3504" s="10">
        <v>230</v>
      </c>
      <c r="B3504" s="10">
        <v>36</v>
      </c>
      <c r="C3504" s="10" t="s">
        <v>26</v>
      </c>
      <c r="D3504" s="10" t="s">
        <v>64</v>
      </c>
      <c r="E3504" s="15">
        <f>3.732+3.632-0.178-1.282-1.222-0.624</f>
        <v>4.0580000000000007</v>
      </c>
    </row>
    <row r="3505" spans="1:5" x14ac:dyDescent="0.3">
      <c r="A3505" s="10">
        <v>230</v>
      </c>
      <c r="B3505" s="10">
        <v>36</v>
      </c>
      <c r="C3505" s="10">
        <v>35</v>
      </c>
      <c r="D3505" s="10" t="s">
        <v>1</v>
      </c>
      <c r="E3505" s="15">
        <f>4.918-0.045-0.355-0.355</f>
        <v>4.1630000000000003</v>
      </c>
    </row>
    <row r="3506" spans="1:5" x14ac:dyDescent="0.3">
      <c r="A3506" s="10">
        <v>230</v>
      </c>
      <c r="B3506" s="10">
        <v>36</v>
      </c>
      <c r="C3506" s="10">
        <v>45</v>
      </c>
      <c r="D3506" s="10" t="s">
        <v>64</v>
      </c>
      <c r="E3506" s="15">
        <f>4.406+0.577-3.919-0.128-0.185-0.353</f>
        <v>0.39799999999999969</v>
      </c>
    </row>
    <row r="3507" spans="1:5" x14ac:dyDescent="0.3">
      <c r="A3507" s="8">
        <v>230</v>
      </c>
      <c r="B3507" s="8">
        <v>36</v>
      </c>
      <c r="C3507" s="8">
        <v>45</v>
      </c>
      <c r="D3507" s="8" t="s">
        <v>1</v>
      </c>
      <c r="E3507" s="9">
        <v>5</v>
      </c>
    </row>
    <row r="3508" spans="1:5" x14ac:dyDescent="0.3">
      <c r="A3508" s="10">
        <v>230</v>
      </c>
      <c r="B3508" s="10">
        <v>36</v>
      </c>
      <c r="C3508" s="10" t="s">
        <v>28</v>
      </c>
      <c r="D3508" s="10" t="s">
        <v>64</v>
      </c>
      <c r="E3508" s="15">
        <f>4.85-0.028-0.286-0.035-0.096-0.734-0.163</f>
        <v>3.5080000000000005</v>
      </c>
    </row>
    <row r="3509" spans="1:5" x14ac:dyDescent="0.3">
      <c r="A3509" s="10">
        <v>230</v>
      </c>
      <c r="B3509" s="10">
        <v>36</v>
      </c>
      <c r="C3509" s="10" t="s">
        <v>30</v>
      </c>
      <c r="D3509" s="10" t="s">
        <v>1</v>
      </c>
      <c r="E3509" s="15">
        <f>5.023-0.421-0.126-0.847</f>
        <v>3.6289999999999991</v>
      </c>
    </row>
    <row r="3510" spans="1:5" x14ac:dyDescent="0.3">
      <c r="A3510" s="8">
        <v>230</v>
      </c>
      <c r="B3510" s="8">
        <v>40</v>
      </c>
      <c r="C3510" s="8">
        <v>20</v>
      </c>
      <c r="D3510" s="8" t="s">
        <v>1</v>
      </c>
      <c r="E3510" s="9">
        <v>5</v>
      </c>
    </row>
    <row r="3511" spans="1:5" x14ac:dyDescent="0.3">
      <c r="A3511" s="10">
        <v>230</v>
      </c>
      <c r="B3511" s="10">
        <v>40</v>
      </c>
      <c r="C3511" s="10" t="s">
        <v>26</v>
      </c>
      <c r="D3511" s="10" t="s">
        <v>64</v>
      </c>
      <c r="E3511" s="15">
        <f>4.644-2.391-0.085-0.195-0.227-0.578+4.803-0.195-0.973-0.27-0.139-0.195-0.61-1.234-0.584-0.197-1.21-0.083</f>
        <v>0.28099999999999897</v>
      </c>
    </row>
    <row r="3512" spans="1:5" x14ac:dyDescent="0.3">
      <c r="A3512" s="8">
        <v>230</v>
      </c>
      <c r="B3512" s="8">
        <v>40</v>
      </c>
      <c r="C3512" s="8" t="s">
        <v>200</v>
      </c>
      <c r="D3512" s="8" t="s">
        <v>1</v>
      </c>
      <c r="E3512" s="9">
        <v>5</v>
      </c>
    </row>
    <row r="3513" spans="1:5" x14ac:dyDescent="0.3">
      <c r="A3513" s="10">
        <v>230</v>
      </c>
      <c r="B3513" s="10">
        <v>40</v>
      </c>
      <c r="C3513" s="10">
        <v>35</v>
      </c>
      <c r="D3513" s="10" t="s">
        <v>1</v>
      </c>
      <c r="E3513" s="15">
        <f>2.399+3.631-0.598-0.217-1.221-0.368</f>
        <v>3.6259999999999999</v>
      </c>
    </row>
    <row r="3514" spans="1:5" x14ac:dyDescent="0.3">
      <c r="A3514" s="10">
        <v>230</v>
      </c>
      <c r="B3514" s="10">
        <v>40</v>
      </c>
      <c r="C3514" s="10">
        <v>45</v>
      </c>
      <c r="D3514" s="10" t="s">
        <v>64</v>
      </c>
      <c r="E3514" s="15">
        <f>4.875-0.064-0.383-0.147-0.117-0.109-0.218-0.047-0.122-0.385-0.291-0.16-0.392-0.032-0.404</f>
        <v>2.0039999999999996</v>
      </c>
    </row>
    <row r="3515" spans="1:5" x14ac:dyDescent="0.3">
      <c r="A3515" s="10">
        <v>230</v>
      </c>
      <c r="B3515" s="10">
        <v>40</v>
      </c>
      <c r="C3515" s="10" t="s">
        <v>28</v>
      </c>
      <c r="D3515" s="10" t="s">
        <v>64</v>
      </c>
      <c r="E3515" s="15">
        <f>4.83-0.104-0.572-0.244-0.666-0.104-0.184</f>
        <v>2.956</v>
      </c>
    </row>
    <row r="3516" spans="1:5" x14ac:dyDescent="0.3">
      <c r="A3516" s="10">
        <v>230</v>
      </c>
      <c r="B3516" s="10">
        <v>40</v>
      </c>
      <c r="C3516" s="10" t="s">
        <v>30</v>
      </c>
      <c r="D3516" s="10" t="s">
        <v>1</v>
      </c>
      <c r="E3516" s="15">
        <f>4.83-1.2</f>
        <v>3.63</v>
      </c>
    </row>
    <row r="3517" spans="1:5" x14ac:dyDescent="0.3">
      <c r="A3517" s="8">
        <v>230</v>
      </c>
      <c r="B3517" s="8">
        <v>45</v>
      </c>
      <c r="C3517" s="8">
        <v>20</v>
      </c>
      <c r="D3517" s="8" t="s">
        <v>1</v>
      </c>
      <c r="E3517" s="9">
        <v>5</v>
      </c>
    </row>
    <row r="3518" spans="1:5" x14ac:dyDescent="0.3">
      <c r="A3518" s="8">
        <v>230</v>
      </c>
      <c r="B3518" s="8">
        <v>50</v>
      </c>
      <c r="C3518" s="8">
        <v>20</v>
      </c>
      <c r="D3518" s="8" t="s">
        <v>1</v>
      </c>
      <c r="E3518" s="9">
        <v>5</v>
      </c>
    </row>
    <row r="3519" spans="1:5" x14ac:dyDescent="0.3">
      <c r="A3519" s="8">
        <v>230</v>
      </c>
      <c r="B3519" s="8">
        <v>50</v>
      </c>
      <c r="C3519" s="8">
        <v>35</v>
      </c>
      <c r="D3519" s="8" t="s">
        <v>1</v>
      </c>
      <c r="E3519" s="9">
        <v>11.374000000000001</v>
      </c>
    </row>
    <row r="3520" spans="1:5" x14ac:dyDescent="0.3">
      <c r="A3520" s="8">
        <v>230</v>
      </c>
      <c r="B3520" s="8">
        <v>50</v>
      </c>
      <c r="C3520" s="8">
        <v>45</v>
      </c>
      <c r="D3520" s="8" t="s">
        <v>1</v>
      </c>
      <c r="E3520" s="9">
        <v>11.53</v>
      </c>
    </row>
    <row r="3521" spans="1:5" x14ac:dyDescent="0.3">
      <c r="A3521" s="10">
        <v>230</v>
      </c>
      <c r="B3521" s="10">
        <v>50</v>
      </c>
      <c r="C3521" s="10" t="s">
        <v>28</v>
      </c>
      <c r="D3521" s="10" t="s">
        <v>64</v>
      </c>
      <c r="E3521" s="15">
        <f>4.812-0.116-0.125-0.085-0.876-0.278</f>
        <v>3.3320000000000007</v>
      </c>
    </row>
    <row r="3522" spans="1:5" x14ac:dyDescent="0.3">
      <c r="A3522" s="8">
        <v>230</v>
      </c>
      <c r="B3522" s="8">
        <v>50</v>
      </c>
      <c r="C3522" s="8" t="s">
        <v>30</v>
      </c>
      <c r="D3522" s="8" t="s">
        <v>1</v>
      </c>
      <c r="E3522" s="9">
        <v>5</v>
      </c>
    </row>
    <row r="3523" spans="1:5" x14ac:dyDescent="0.3">
      <c r="A3523" s="8">
        <v>230</v>
      </c>
      <c r="B3523" s="8">
        <v>60</v>
      </c>
      <c r="C3523" s="8" t="s">
        <v>30</v>
      </c>
      <c r="D3523" s="8" t="s">
        <v>1</v>
      </c>
      <c r="E3523" s="9">
        <v>5</v>
      </c>
    </row>
    <row r="3524" spans="1:5" x14ac:dyDescent="0.3">
      <c r="A3524" s="10">
        <v>232</v>
      </c>
      <c r="B3524" s="10">
        <v>36</v>
      </c>
      <c r="C3524" s="10">
        <v>20</v>
      </c>
      <c r="D3524" s="10" t="s">
        <v>1</v>
      </c>
      <c r="E3524" s="15">
        <f>1.915+3.795-0.18-0.078</f>
        <v>5.452</v>
      </c>
    </row>
    <row r="3525" spans="1:5" x14ac:dyDescent="0.3">
      <c r="A3525" s="8">
        <v>235</v>
      </c>
      <c r="B3525" s="8">
        <v>27</v>
      </c>
      <c r="C3525" s="8">
        <v>45</v>
      </c>
      <c r="D3525" s="8" t="s">
        <v>1</v>
      </c>
      <c r="E3525" s="9">
        <f>1.195-0.286-0.056</f>
        <v>0.85299999999999998</v>
      </c>
    </row>
    <row r="3526" spans="1:5" x14ac:dyDescent="0.3">
      <c r="A3526" s="8">
        <v>235</v>
      </c>
      <c r="B3526" s="8">
        <v>40</v>
      </c>
      <c r="C3526" s="8">
        <v>45</v>
      </c>
      <c r="D3526" s="8" t="s">
        <v>1</v>
      </c>
      <c r="E3526" s="9">
        <v>5</v>
      </c>
    </row>
    <row r="3527" spans="1:5" x14ac:dyDescent="0.3">
      <c r="A3527" s="8">
        <v>235</v>
      </c>
      <c r="B3527" s="8">
        <v>45</v>
      </c>
      <c r="C3527" s="8">
        <v>45</v>
      </c>
      <c r="D3527" s="8" t="s">
        <v>1</v>
      </c>
      <c r="E3527" s="9">
        <f>3.63-1.255-0.553-0.857-0.148-0.694</f>
        <v>0.12300000000000011</v>
      </c>
    </row>
    <row r="3528" spans="1:5" x14ac:dyDescent="0.3">
      <c r="A3528" s="10">
        <v>237</v>
      </c>
      <c r="B3528" s="10">
        <v>23</v>
      </c>
      <c r="C3528" s="10" t="s">
        <v>146</v>
      </c>
      <c r="D3528" s="10" t="s">
        <v>92</v>
      </c>
      <c r="E3528" s="15">
        <v>0.79600000000000004</v>
      </c>
    </row>
    <row r="3529" spans="1:5" x14ac:dyDescent="0.3">
      <c r="A3529" s="10">
        <v>244.48</v>
      </c>
      <c r="B3529" s="10">
        <v>7.92</v>
      </c>
      <c r="C3529" s="10" t="s">
        <v>94</v>
      </c>
      <c r="D3529" s="10" t="s">
        <v>7</v>
      </c>
      <c r="E3529" s="15">
        <f>1.114-0.03-0.571</f>
        <v>0.51300000000000012</v>
      </c>
    </row>
    <row r="3530" spans="1:5" x14ac:dyDescent="0.3">
      <c r="A3530" s="10">
        <v>245</v>
      </c>
      <c r="B3530" s="10">
        <v>7</v>
      </c>
      <c r="C3530" s="10">
        <v>20</v>
      </c>
      <c r="D3530" s="10" t="s">
        <v>1</v>
      </c>
      <c r="E3530" s="15">
        <v>0.501</v>
      </c>
    </row>
    <row r="3531" spans="1:5" x14ac:dyDescent="0.3">
      <c r="A3531" s="10">
        <v>245</v>
      </c>
      <c r="B3531" s="10">
        <v>7</v>
      </c>
      <c r="C3531" s="10" t="s">
        <v>26</v>
      </c>
      <c r="D3531" s="10" t="s">
        <v>1</v>
      </c>
      <c r="E3531" s="15">
        <f>0.35-0.148-0.044-0.026-0.066-0.024-0.048+0.013</f>
        <v>6.9999999999999733E-3</v>
      </c>
    </row>
    <row r="3532" spans="1:5" x14ac:dyDescent="0.3">
      <c r="A3532" s="10">
        <v>245</v>
      </c>
      <c r="B3532" s="10">
        <v>7.9</v>
      </c>
      <c r="C3532" s="10" t="s">
        <v>14</v>
      </c>
      <c r="D3532" s="10" t="s">
        <v>18</v>
      </c>
      <c r="E3532" s="15">
        <v>0.49099999999999999</v>
      </c>
    </row>
    <row r="3533" spans="1:5" x14ac:dyDescent="0.3">
      <c r="A3533" s="10">
        <v>245</v>
      </c>
      <c r="B3533" s="10">
        <v>8</v>
      </c>
      <c r="C3533" s="10">
        <v>20</v>
      </c>
      <c r="D3533" s="10" t="s">
        <v>1</v>
      </c>
      <c r="E3533" s="15">
        <f>13.577-0.017+9.011+2.68-0.173+1.334-0.05-0.204-0.298-0.012-0.03-0.1-0.057-0.228-0.099+0.06-0.01-0.47+0.338-1.622-0.076-0.247+0.571-0.136-0.125-0.056-0.006-0.055-0.101-0.032-0.016-0.189-0.049-0.081-0.82-0.42-0.06-0.59-15.981-0.406-0.132-0.501-0.1-0.018-0.103-2.804-0.059-0.642-1.116+0.73</f>
        <v>1.0000000000000342E-2</v>
      </c>
    </row>
    <row r="3534" spans="1:5" x14ac:dyDescent="0.3">
      <c r="A3534" s="10">
        <v>245</v>
      </c>
      <c r="B3534" s="10">
        <v>8</v>
      </c>
      <c r="C3534" s="10">
        <v>20</v>
      </c>
      <c r="D3534" s="10" t="s">
        <v>1</v>
      </c>
      <c r="E3534" s="15">
        <f>0.552+0.287-0.017-0.098-0.064-0.05-0.065-0.031-0.014-0.026-0.169+10.237-0.011-0.079+0.2-0.204-0.05-0.018+0.349+0.408-0.051+0.435-0.162</f>
        <v>11.358999999999996</v>
      </c>
    </row>
    <row r="3535" spans="1:5" x14ac:dyDescent="0.3">
      <c r="A3535" s="10">
        <v>244.5</v>
      </c>
      <c r="B3535" s="10">
        <v>8</v>
      </c>
      <c r="C3535" s="10" t="s">
        <v>26</v>
      </c>
      <c r="D3535" s="10" t="s">
        <v>7</v>
      </c>
      <c r="E3535" s="15">
        <f>0.397+1.929+0.746-1.146-0.015-0.379-1.205-0.098-0.027-0.084</f>
        <v>0.11800000000000017</v>
      </c>
    </row>
    <row r="3536" spans="1:5" x14ac:dyDescent="0.3">
      <c r="A3536" s="10">
        <v>245</v>
      </c>
      <c r="B3536" s="10">
        <v>8</v>
      </c>
      <c r="C3536" s="10" t="s">
        <v>26</v>
      </c>
      <c r="D3536" s="10" t="s">
        <v>1</v>
      </c>
      <c r="E3536" s="15">
        <f>1.368+0.399-0.167-0.944-0.733+0.104+0.495-0.075-0.038-0.032-0.098-0.041-0.028-0.036-0.137-0.034+0.024+0.5-0.031-0.113</f>
        <v>0.38300000000000012</v>
      </c>
    </row>
    <row r="3537" spans="1:5" x14ac:dyDescent="0.3">
      <c r="A3537" s="8">
        <v>245</v>
      </c>
      <c r="B3537" s="8">
        <v>8</v>
      </c>
      <c r="C3537" s="8" t="s">
        <v>26</v>
      </c>
      <c r="D3537" s="8" t="s">
        <v>64</v>
      </c>
      <c r="E3537" s="9">
        <f>12.022-0.296-0.185</f>
        <v>11.541</v>
      </c>
    </row>
    <row r="3538" spans="1:5" x14ac:dyDescent="0.3">
      <c r="A3538" s="10">
        <v>245</v>
      </c>
      <c r="B3538" s="10">
        <v>8</v>
      </c>
      <c r="C3538" s="10" t="s">
        <v>37</v>
      </c>
      <c r="D3538" s="10" t="s">
        <v>157</v>
      </c>
      <c r="E3538" s="15">
        <v>2.0840000000000001</v>
      </c>
    </row>
    <row r="3539" spans="1:5" x14ac:dyDescent="0.3">
      <c r="A3539" s="10">
        <v>245</v>
      </c>
      <c r="B3539" s="10">
        <v>9</v>
      </c>
      <c r="C3539" s="10">
        <v>20</v>
      </c>
      <c r="D3539" s="10" t="s">
        <v>1</v>
      </c>
      <c r="E3539" s="15">
        <f>1.802+2.661-0.338-0.054-0.111-0.066-0.177-0.164-0.219-0.971-1.767</f>
        <v>0.59599999999999964</v>
      </c>
    </row>
    <row r="3540" spans="1:5" x14ac:dyDescent="0.3">
      <c r="A3540" s="10">
        <v>245</v>
      </c>
      <c r="B3540" s="10">
        <v>9</v>
      </c>
      <c r="C3540" s="10">
        <v>20</v>
      </c>
      <c r="D3540" s="10" t="s">
        <v>1</v>
      </c>
      <c r="E3540" s="15">
        <f>0.971+1.767-0.041-0.326-0.057-0.553-0.018-0.09-0.502-0.287-0.045-0.525-0.158+4.727-0.111-0.014-0.075+1.898</f>
        <v>6.5609999999999999</v>
      </c>
    </row>
    <row r="3541" spans="1:5" x14ac:dyDescent="0.3">
      <c r="A3541" s="10">
        <v>245</v>
      </c>
      <c r="B3541" s="10">
        <v>9</v>
      </c>
      <c r="C3541" s="10" t="s">
        <v>26</v>
      </c>
      <c r="D3541" s="10" t="s">
        <v>1</v>
      </c>
      <c r="E3541" s="15">
        <f>0.36+0.735</f>
        <v>1.095</v>
      </c>
    </row>
    <row r="3542" spans="1:5" x14ac:dyDescent="0.3">
      <c r="A3542" s="8">
        <v>245</v>
      </c>
      <c r="B3542" s="8">
        <v>9</v>
      </c>
      <c r="C3542" s="8" t="s">
        <v>26</v>
      </c>
      <c r="D3542" s="8" t="s">
        <v>1</v>
      </c>
      <c r="E3542" s="9">
        <f>2.2-0.36-0.735</f>
        <v>1.1050000000000004</v>
      </c>
    </row>
    <row r="3543" spans="1:5" x14ac:dyDescent="0.3">
      <c r="A3543" s="10">
        <v>245</v>
      </c>
      <c r="B3543" s="10">
        <v>9</v>
      </c>
      <c r="C3543" s="10" t="s">
        <v>21</v>
      </c>
      <c r="D3543" s="10" t="s">
        <v>1</v>
      </c>
      <c r="E3543" s="15">
        <f>3.02-0.046-0.135-0.065-0.083</f>
        <v>2.6910000000000003</v>
      </c>
    </row>
    <row r="3544" spans="1:5" x14ac:dyDescent="0.3">
      <c r="A3544" s="10">
        <v>245</v>
      </c>
      <c r="B3544" s="10">
        <v>10</v>
      </c>
      <c r="C3544" s="10">
        <v>20</v>
      </c>
      <c r="D3544" s="10" t="s">
        <v>7</v>
      </c>
      <c r="E3544" s="15">
        <f>0.585+8.632-0.09-0.092-0.709-7.384-0.151-0.709+0.184-0.018-0.062</f>
        <v>0.18599999999999842</v>
      </c>
    </row>
    <row r="3545" spans="1:5" x14ac:dyDescent="0.3">
      <c r="A3545" s="10">
        <v>245</v>
      </c>
      <c r="B3545" s="10">
        <v>10</v>
      </c>
      <c r="C3545" s="10">
        <v>20</v>
      </c>
      <c r="D3545" s="10" t="s">
        <v>1</v>
      </c>
      <c r="E3545" s="15">
        <f>1.058+0.354-0.062</f>
        <v>1.3499999999999999</v>
      </c>
    </row>
    <row r="3546" spans="1:5" x14ac:dyDescent="0.3">
      <c r="A3546" s="8">
        <v>245</v>
      </c>
      <c r="B3546" s="8">
        <v>10</v>
      </c>
      <c r="C3546" s="8">
        <v>20</v>
      </c>
      <c r="D3546" s="8" t="s">
        <v>1</v>
      </c>
      <c r="E3546" s="9">
        <v>5</v>
      </c>
    </row>
    <row r="3547" spans="1:5" x14ac:dyDescent="0.3">
      <c r="A3547" s="8">
        <v>245</v>
      </c>
      <c r="B3547" s="8">
        <v>10</v>
      </c>
      <c r="C3547" s="8">
        <v>20</v>
      </c>
      <c r="D3547" s="8" t="s">
        <v>32</v>
      </c>
      <c r="E3547" s="9">
        <v>0.22900000000000001</v>
      </c>
    </row>
    <row r="3548" spans="1:5" x14ac:dyDescent="0.3">
      <c r="A3548" s="10">
        <v>245</v>
      </c>
      <c r="B3548" s="10">
        <v>10</v>
      </c>
      <c r="C3548" s="10">
        <v>35</v>
      </c>
      <c r="D3548" s="10" t="s">
        <v>1</v>
      </c>
      <c r="E3548" s="15">
        <v>0.57599999999999996</v>
      </c>
    </row>
    <row r="3549" spans="1:5" x14ac:dyDescent="0.3">
      <c r="A3549" s="8">
        <v>245</v>
      </c>
      <c r="B3549" s="8">
        <v>10</v>
      </c>
      <c r="C3549" s="8">
        <v>35</v>
      </c>
      <c r="D3549" s="8" t="s">
        <v>1</v>
      </c>
      <c r="E3549" s="9">
        <v>5</v>
      </c>
    </row>
    <row r="3550" spans="1:5" x14ac:dyDescent="0.3">
      <c r="A3550" s="8">
        <v>245</v>
      </c>
      <c r="B3550" s="8">
        <v>10</v>
      </c>
      <c r="C3550" s="8" t="s">
        <v>26</v>
      </c>
      <c r="D3550" s="8" t="s">
        <v>64</v>
      </c>
      <c r="E3550" s="9">
        <f>5.387-0.068-0.045-0.009-0.063</f>
        <v>5.202</v>
      </c>
    </row>
    <row r="3551" spans="1:5" x14ac:dyDescent="0.3">
      <c r="A3551" s="10">
        <v>245</v>
      </c>
      <c r="B3551" s="10">
        <v>12</v>
      </c>
      <c r="C3551" s="10">
        <v>20</v>
      </c>
      <c r="D3551" s="10" t="s">
        <v>1</v>
      </c>
      <c r="E3551" s="15">
        <f>1.837-0.108-0.075-0.217-0.108-0.475-0.025-0.105+0.675-0.038-0.105-0.047-0.112-0.074-0.214-0.112-0.112+4.495-0.048-0.061-0.048-0.076-0.25-0.04-0.127-0.295+1.87-1.87-0.166-0.047-0.194-0.115-3.763+0.268-0.055-0.024-0.032</f>
        <v>7.0000000000005544E-3</v>
      </c>
    </row>
    <row r="3552" spans="1:5" x14ac:dyDescent="0.3">
      <c r="A3552" s="10">
        <v>245</v>
      </c>
      <c r="B3552" s="10">
        <v>12</v>
      </c>
      <c r="C3552" s="10">
        <v>20</v>
      </c>
      <c r="D3552" s="10" t="s">
        <v>1</v>
      </c>
      <c r="E3552" s="15">
        <f>0.335-0.049+0.178-0.164-0.022</f>
        <v>0.27800000000000002</v>
      </c>
    </row>
    <row r="3553" spans="1:5" x14ac:dyDescent="0.3">
      <c r="A3553" s="8">
        <v>245</v>
      </c>
      <c r="B3553" s="8">
        <v>12</v>
      </c>
      <c r="C3553" s="8">
        <v>20</v>
      </c>
      <c r="D3553" s="8" t="s">
        <v>1</v>
      </c>
      <c r="E3553" s="9">
        <v>5</v>
      </c>
    </row>
    <row r="3554" spans="1:5" x14ac:dyDescent="0.3">
      <c r="A3554" s="8">
        <v>245</v>
      </c>
      <c r="B3554" s="8">
        <v>12</v>
      </c>
      <c r="C3554" s="8" t="s">
        <v>26</v>
      </c>
      <c r="D3554" s="8" t="s">
        <v>64</v>
      </c>
      <c r="E3554" s="9">
        <f>6.467-0.097-0.146-1.709-0.161-0.082-0.821</f>
        <v>3.4509999999999996</v>
      </c>
    </row>
    <row r="3555" spans="1:5" x14ac:dyDescent="0.3">
      <c r="A3555" s="10">
        <v>245</v>
      </c>
      <c r="B3555" s="10">
        <v>12</v>
      </c>
      <c r="C3555" s="10" t="s">
        <v>26</v>
      </c>
      <c r="D3555" s="10" t="s">
        <v>1</v>
      </c>
      <c r="E3555" s="15">
        <f>0.498+0.51</f>
        <v>1.008</v>
      </c>
    </row>
    <row r="3556" spans="1:5" x14ac:dyDescent="0.3">
      <c r="A3556" s="10">
        <v>245</v>
      </c>
      <c r="B3556" s="10">
        <v>12</v>
      </c>
      <c r="C3556" s="10" t="s">
        <v>28</v>
      </c>
      <c r="D3556" s="10" t="s">
        <v>1</v>
      </c>
      <c r="E3556" s="15">
        <f>9.975-0.1-0.178-0.077-0.037-0.04-0.975</f>
        <v>8.5679999999999996</v>
      </c>
    </row>
    <row r="3557" spans="1:5" x14ac:dyDescent="0.3">
      <c r="A3557" s="8">
        <v>245</v>
      </c>
      <c r="B3557" s="8">
        <v>12</v>
      </c>
      <c r="C3557" s="8" t="s">
        <v>30</v>
      </c>
      <c r="D3557" s="8" t="s">
        <v>1</v>
      </c>
      <c r="E3557" s="9">
        <v>5</v>
      </c>
    </row>
    <row r="3558" spans="1:5" x14ac:dyDescent="0.3">
      <c r="A3558" s="10">
        <v>245</v>
      </c>
      <c r="B3558" s="10">
        <v>13</v>
      </c>
      <c r="C3558" s="10" t="s">
        <v>26</v>
      </c>
      <c r="D3558" s="10" t="s">
        <v>1</v>
      </c>
      <c r="E3558" s="15">
        <v>0.83599999999999997</v>
      </c>
    </row>
    <row r="3559" spans="1:5" x14ac:dyDescent="0.3">
      <c r="A3559" s="8">
        <v>245</v>
      </c>
      <c r="B3559" s="8">
        <v>14</v>
      </c>
      <c r="C3559" s="8">
        <v>20</v>
      </c>
      <c r="D3559" s="8" t="s">
        <v>1</v>
      </c>
      <c r="E3559" s="9">
        <v>5</v>
      </c>
    </row>
    <row r="3560" spans="1:5" x14ac:dyDescent="0.3">
      <c r="A3560" s="8">
        <v>245</v>
      </c>
      <c r="B3560" s="8">
        <v>14</v>
      </c>
      <c r="C3560" s="8" t="s">
        <v>26</v>
      </c>
      <c r="D3560" s="8" t="s">
        <v>64</v>
      </c>
      <c r="E3560" s="9">
        <v>5</v>
      </c>
    </row>
    <row r="3561" spans="1:5" x14ac:dyDescent="0.3">
      <c r="A3561" s="8">
        <v>245</v>
      </c>
      <c r="B3561" s="8">
        <v>14</v>
      </c>
      <c r="C3561" s="10" t="s">
        <v>139</v>
      </c>
      <c r="D3561" s="10" t="s">
        <v>114</v>
      </c>
      <c r="E3561" s="9">
        <f>4.908+5.683-0.139-4.907-0.045</f>
        <v>5.5000000000000018</v>
      </c>
    </row>
    <row r="3562" spans="1:5" x14ac:dyDescent="0.3">
      <c r="A3562" s="8">
        <v>245</v>
      </c>
      <c r="B3562" s="8">
        <v>14</v>
      </c>
      <c r="C3562" s="10" t="s">
        <v>139</v>
      </c>
      <c r="D3562" s="10" t="s">
        <v>114</v>
      </c>
      <c r="E3562" s="9">
        <f>4.907-0.057</f>
        <v>4.8499999999999996</v>
      </c>
    </row>
    <row r="3563" spans="1:5" x14ac:dyDescent="0.3">
      <c r="A3563" s="10">
        <v>245</v>
      </c>
      <c r="B3563" s="10">
        <v>14</v>
      </c>
      <c r="C3563" s="10" t="s">
        <v>28</v>
      </c>
      <c r="D3563" s="10" t="s">
        <v>1</v>
      </c>
      <c r="E3563" s="15">
        <f>10.156-0.874-0.046-0.187-0.188-0.94-0.907-1.849-0.336-0.151-0.088-2.673-0.933</f>
        <v>0.98400000000000065</v>
      </c>
    </row>
    <row r="3564" spans="1:5" x14ac:dyDescent="0.3">
      <c r="A3564" s="8">
        <v>245</v>
      </c>
      <c r="B3564" s="8">
        <v>14</v>
      </c>
      <c r="C3564" s="8" t="s">
        <v>30</v>
      </c>
      <c r="D3564" s="8" t="s">
        <v>1</v>
      </c>
      <c r="E3564" s="9">
        <v>5</v>
      </c>
    </row>
    <row r="3565" spans="1:5" x14ac:dyDescent="0.3">
      <c r="A3565" s="8">
        <v>245</v>
      </c>
      <c r="B3565" s="8">
        <v>16</v>
      </c>
      <c r="C3565" s="8">
        <v>10</v>
      </c>
      <c r="D3565" s="8" t="s">
        <v>1</v>
      </c>
      <c r="E3565" s="9">
        <f>0.56+0.43</f>
        <v>0.99</v>
      </c>
    </row>
    <row r="3566" spans="1:5" x14ac:dyDescent="0.3">
      <c r="A3566" s="8">
        <v>245</v>
      </c>
      <c r="B3566" s="8">
        <v>16</v>
      </c>
      <c r="C3566" s="8">
        <v>20</v>
      </c>
      <c r="D3566" s="8" t="s">
        <v>1</v>
      </c>
      <c r="E3566" s="9">
        <v>5</v>
      </c>
    </row>
    <row r="3567" spans="1:5" x14ac:dyDescent="0.3">
      <c r="A3567" s="8">
        <v>245</v>
      </c>
      <c r="B3567" s="8">
        <v>16</v>
      </c>
      <c r="C3567" s="8">
        <v>20</v>
      </c>
      <c r="D3567" s="8" t="s">
        <v>32</v>
      </c>
      <c r="E3567" s="9">
        <v>5</v>
      </c>
    </row>
    <row r="3568" spans="1:5" x14ac:dyDescent="0.3">
      <c r="A3568" s="8">
        <v>245</v>
      </c>
      <c r="B3568" s="8">
        <v>16</v>
      </c>
      <c r="C3568" s="8" t="s">
        <v>26</v>
      </c>
      <c r="D3568" s="8" t="s">
        <v>1</v>
      </c>
      <c r="E3568" s="9">
        <f>1.392-0.229-0.141-0.044-0.465-0.229-0.069-0.191+0.608</f>
        <v>0.63199999999999967</v>
      </c>
    </row>
    <row r="3569" spans="1:5" x14ac:dyDescent="0.3">
      <c r="A3569" s="8">
        <v>245</v>
      </c>
      <c r="B3569" s="8">
        <v>16</v>
      </c>
      <c r="C3569" s="8" t="s">
        <v>26</v>
      </c>
      <c r="D3569" s="8" t="s">
        <v>1</v>
      </c>
      <c r="E3569" s="9">
        <f>2.345-0.953+0.545-1.392</f>
        <v>0.54500000000000037</v>
      </c>
    </row>
    <row r="3570" spans="1:5" x14ac:dyDescent="0.3">
      <c r="A3570" s="10">
        <v>245</v>
      </c>
      <c r="B3570" s="10">
        <v>16</v>
      </c>
      <c r="C3570" s="10" t="s">
        <v>26</v>
      </c>
      <c r="D3570" s="10" t="s">
        <v>64</v>
      </c>
      <c r="E3570" s="15">
        <f>19.822-1.09-0.095-0.085-0.549-0.032-0.071-1.09-0.112-0.016-0.022-0.05-0.331-0.47-0.069-0.095-0.191-0.14-0.158-0.095-0.729-0.06-0.072-1.123</f>
        <v>13.077000000000002</v>
      </c>
    </row>
    <row r="3571" spans="1:5" x14ac:dyDescent="0.3">
      <c r="A3571" s="8">
        <v>245</v>
      </c>
      <c r="B3571" s="8">
        <v>16</v>
      </c>
      <c r="C3571" s="8">
        <v>45</v>
      </c>
      <c r="D3571" s="8" t="s">
        <v>1</v>
      </c>
      <c r="E3571" s="9">
        <v>5</v>
      </c>
    </row>
    <row r="3572" spans="1:5" x14ac:dyDescent="0.3">
      <c r="A3572" s="8">
        <v>245</v>
      </c>
      <c r="B3572" s="8">
        <v>16</v>
      </c>
      <c r="C3572" s="10" t="s">
        <v>37</v>
      </c>
      <c r="D3572" s="10" t="s">
        <v>143</v>
      </c>
      <c r="E3572" s="9">
        <f>3.441-0.069-0.035-0.09</f>
        <v>3.2469999999999999</v>
      </c>
    </row>
    <row r="3573" spans="1:5" x14ac:dyDescent="0.3">
      <c r="A3573" s="8">
        <v>245</v>
      </c>
      <c r="B3573" s="8">
        <v>16</v>
      </c>
      <c r="C3573" s="8" t="s">
        <v>30</v>
      </c>
      <c r="D3573" s="8" t="s">
        <v>1</v>
      </c>
      <c r="E3573" s="15">
        <f>0.957+0.003+11.074-0.028-0.032-0.431-0.098-0.115-0.098-0.051-0.971-0.056-0.105+1.082</f>
        <v>11.130999999999998</v>
      </c>
    </row>
    <row r="3574" spans="1:5" x14ac:dyDescent="0.3">
      <c r="A3574" s="8">
        <v>245</v>
      </c>
      <c r="B3574" s="8">
        <v>16</v>
      </c>
      <c r="C3574" s="8" t="s">
        <v>30</v>
      </c>
      <c r="D3574" s="8" t="s">
        <v>1</v>
      </c>
      <c r="E3574" s="9">
        <v>1.0820000000000001</v>
      </c>
    </row>
    <row r="3575" spans="1:5" x14ac:dyDescent="0.3">
      <c r="A3575" s="8">
        <v>245</v>
      </c>
      <c r="B3575" s="8">
        <v>18</v>
      </c>
      <c r="C3575" s="8">
        <v>20</v>
      </c>
      <c r="D3575" s="8" t="s">
        <v>1</v>
      </c>
      <c r="E3575" s="9">
        <v>5</v>
      </c>
    </row>
    <row r="3576" spans="1:5" x14ac:dyDescent="0.3">
      <c r="A3576" s="8">
        <v>245</v>
      </c>
      <c r="B3576" s="8">
        <v>18</v>
      </c>
      <c r="C3576" s="8" t="s">
        <v>26</v>
      </c>
      <c r="D3576" s="8" t="s">
        <v>64</v>
      </c>
      <c r="E3576" s="9">
        <v>5</v>
      </c>
    </row>
    <row r="3577" spans="1:5" x14ac:dyDescent="0.3">
      <c r="A3577" s="10">
        <v>245</v>
      </c>
      <c r="B3577" s="10">
        <v>18</v>
      </c>
      <c r="C3577" s="10" t="s">
        <v>28</v>
      </c>
      <c r="D3577" s="10" t="s">
        <v>1</v>
      </c>
      <c r="E3577" s="15">
        <f>6.02-0.409-0.021</f>
        <v>5.59</v>
      </c>
    </row>
    <row r="3578" spans="1:5" x14ac:dyDescent="0.3">
      <c r="A3578" s="8">
        <v>245</v>
      </c>
      <c r="B3578" s="8">
        <v>20</v>
      </c>
      <c r="C3578" s="8">
        <v>20</v>
      </c>
      <c r="D3578" s="8" t="s">
        <v>1</v>
      </c>
      <c r="E3578" s="9">
        <v>5</v>
      </c>
    </row>
    <row r="3579" spans="1:5" x14ac:dyDescent="0.3">
      <c r="A3579" s="8">
        <v>245</v>
      </c>
      <c r="B3579" s="8">
        <v>20</v>
      </c>
      <c r="C3579" s="8" t="s">
        <v>26</v>
      </c>
      <c r="D3579" s="8" t="s">
        <v>64</v>
      </c>
      <c r="E3579" s="9">
        <f>6.062-0.117-0.128+0.128-0.117-0.128-0.062</f>
        <v>5.6379999999999999</v>
      </c>
    </row>
    <row r="3580" spans="1:5" x14ac:dyDescent="0.3">
      <c r="A3580" s="10">
        <v>245</v>
      </c>
      <c r="B3580" s="10">
        <v>20</v>
      </c>
      <c r="C3580" s="10">
        <v>35</v>
      </c>
      <c r="D3580" s="10" t="s">
        <v>15</v>
      </c>
      <c r="E3580" s="15">
        <f>8.528-0.141-1.249-1.27-0.526-0.044-0.119-0.068-0.04-0.23-0.118-0.344-0.266-1.062-0.12-0.1-0.779</f>
        <v>2.052</v>
      </c>
    </row>
    <row r="3581" spans="1:5" x14ac:dyDescent="0.3">
      <c r="A3581" s="8">
        <v>245</v>
      </c>
      <c r="B3581" s="8">
        <v>20</v>
      </c>
      <c r="C3581" s="8">
        <v>45</v>
      </c>
      <c r="D3581" s="8" t="s">
        <v>1</v>
      </c>
      <c r="E3581" s="9">
        <v>5</v>
      </c>
    </row>
    <row r="3582" spans="1:5" x14ac:dyDescent="0.3">
      <c r="A3582" s="10">
        <v>245</v>
      </c>
      <c r="B3582" s="10">
        <v>20</v>
      </c>
      <c r="C3582" s="10" t="s">
        <v>30</v>
      </c>
      <c r="D3582" s="10" t="s">
        <v>1</v>
      </c>
      <c r="E3582" s="15">
        <f>2.036+5.132-0.107-1.101</f>
        <v>5.9599999999999991</v>
      </c>
    </row>
    <row r="3583" spans="1:5" x14ac:dyDescent="0.3">
      <c r="A3583" s="10">
        <v>245</v>
      </c>
      <c r="B3583" s="10">
        <v>22</v>
      </c>
      <c r="C3583" s="10">
        <v>10</v>
      </c>
      <c r="D3583" s="10" t="s">
        <v>1</v>
      </c>
      <c r="E3583" s="15">
        <v>1.3660000000000001</v>
      </c>
    </row>
    <row r="3584" spans="1:5" x14ac:dyDescent="0.3">
      <c r="A3584" s="8">
        <v>245</v>
      </c>
      <c r="B3584" s="8">
        <v>22</v>
      </c>
      <c r="C3584" s="8">
        <v>20</v>
      </c>
      <c r="D3584" s="8" t="s">
        <v>1</v>
      </c>
      <c r="E3584" s="9">
        <f>0.968+1.086-0.092+0.992+4.738-0.321-0.067-0.31-0.19-0.066-0.848-0.195-0.177-0.092-0.477-0.138-1-0.109-0.215-0.081-1.093-0.151-0.272-0.042-0.037-0.194-0.055-0.029-0.176-0.092-0.189</f>
        <v>1.0760000000000014</v>
      </c>
    </row>
    <row r="3585" spans="1:5" x14ac:dyDescent="0.3">
      <c r="A3585" s="10">
        <v>245</v>
      </c>
      <c r="B3585" s="10">
        <v>22</v>
      </c>
      <c r="C3585" s="10">
        <v>20</v>
      </c>
      <c r="D3585" s="10" t="s">
        <v>32</v>
      </c>
      <c r="E3585" s="15">
        <f>1.362-0.099</f>
        <v>1.2630000000000001</v>
      </c>
    </row>
    <row r="3586" spans="1:5" x14ac:dyDescent="0.3">
      <c r="A3586" s="8">
        <v>245</v>
      </c>
      <c r="B3586" s="8">
        <v>22</v>
      </c>
      <c r="C3586" s="8" t="s">
        <v>35</v>
      </c>
      <c r="D3586" s="8" t="s">
        <v>32</v>
      </c>
      <c r="E3586" s="9">
        <v>5</v>
      </c>
    </row>
    <row r="3587" spans="1:5" x14ac:dyDescent="0.3">
      <c r="A3587" s="10">
        <v>245</v>
      </c>
      <c r="B3587" s="10">
        <v>22</v>
      </c>
      <c r="C3587" s="10">
        <v>35</v>
      </c>
      <c r="D3587" s="10" t="s">
        <v>1</v>
      </c>
      <c r="E3587" s="15">
        <f>4.98+1.078-0.248-0.061-0.248-0.372-0.061-0.309-0.061-0.539</f>
        <v>4.1590000000000007</v>
      </c>
    </row>
    <row r="3588" spans="1:5" x14ac:dyDescent="0.3">
      <c r="A3588" s="10">
        <v>245</v>
      </c>
      <c r="B3588" s="10">
        <v>22</v>
      </c>
      <c r="C3588" s="10" t="s">
        <v>37</v>
      </c>
      <c r="D3588" s="10" t="s">
        <v>64</v>
      </c>
      <c r="E3588" s="15">
        <f>6.126-0.238-0.07-0.057</f>
        <v>5.7609999999999992</v>
      </c>
    </row>
    <row r="3589" spans="1:5" x14ac:dyDescent="0.3">
      <c r="A3589" s="8">
        <v>245</v>
      </c>
      <c r="B3589" s="8">
        <v>22</v>
      </c>
      <c r="C3589" s="8" t="s">
        <v>30</v>
      </c>
      <c r="D3589" s="8" t="s">
        <v>1</v>
      </c>
      <c r="E3589" s="9">
        <v>5</v>
      </c>
    </row>
    <row r="3590" spans="1:5" x14ac:dyDescent="0.3">
      <c r="A3590" s="10">
        <v>245</v>
      </c>
      <c r="B3590" s="10">
        <v>22</v>
      </c>
      <c r="C3590" s="10" t="s">
        <v>31</v>
      </c>
      <c r="D3590" s="10" t="s">
        <v>32</v>
      </c>
      <c r="E3590" s="15">
        <f>3.805+0.68+0.965-0.021+3.862</f>
        <v>9.2910000000000004</v>
      </c>
    </row>
    <row r="3591" spans="1:5" x14ac:dyDescent="0.3">
      <c r="A3591" s="8">
        <v>245</v>
      </c>
      <c r="B3591" s="8">
        <v>22</v>
      </c>
      <c r="C3591" s="8" t="s">
        <v>31</v>
      </c>
      <c r="D3591" s="8" t="s">
        <v>32</v>
      </c>
      <c r="E3591" s="9">
        <f>6.127-3.862</f>
        <v>2.2649999999999997</v>
      </c>
    </row>
    <row r="3592" spans="1:5" x14ac:dyDescent="0.3">
      <c r="A3592" s="8">
        <v>245</v>
      </c>
      <c r="B3592" s="8">
        <v>24</v>
      </c>
      <c r="C3592" s="8">
        <v>20</v>
      </c>
      <c r="D3592" s="8" t="s">
        <v>32</v>
      </c>
      <c r="E3592" s="9">
        <f>2.513+0.932+1.128+1.388-0.302-0.121-0.959</f>
        <v>4.5790000000000006</v>
      </c>
    </row>
    <row r="3593" spans="1:5" x14ac:dyDescent="0.3">
      <c r="A3593" s="8">
        <v>245</v>
      </c>
      <c r="B3593" s="8">
        <v>24</v>
      </c>
      <c r="C3593" s="8">
        <v>20</v>
      </c>
      <c r="D3593" s="8" t="s">
        <v>32</v>
      </c>
      <c r="E3593" s="9">
        <v>2.1379999999999999</v>
      </c>
    </row>
    <row r="3594" spans="1:5" x14ac:dyDescent="0.3">
      <c r="A3594" s="8">
        <v>245</v>
      </c>
      <c r="B3594" s="8">
        <v>24</v>
      </c>
      <c r="C3594" s="8" t="s">
        <v>35</v>
      </c>
      <c r="D3594" s="8" t="s">
        <v>32</v>
      </c>
      <c r="E3594" s="9">
        <f>0.525-0.079</f>
        <v>0.44600000000000001</v>
      </c>
    </row>
    <row r="3595" spans="1:5" x14ac:dyDescent="0.3">
      <c r="A3595" s="10">
        <v>245</v>
      </c>
      <c r="B3595" s="10">
        <v>24</v>
      </c>
      <c r="C3595" s="10" t="s">
        <v>31</v>
      </c>
      <c r="D3595" s="10" t="s">
        <v>32</v>
      </c>
      <c r="E3595" s="15">
        <v>0.91800000000000004</v>
      </c>
    </row>
    <row r="3596" spans="1:5" x14ac:dyDescent="0.3">
      <c r="A3596" s="10">
        <v>245</v>
      </c>
      <c r="B3596" s="10">
        <v>25</v>
      </c>
      <c r="C3596" s="10">
        <v>20</v>
      </c>
      <c r="D3596" s="10" t="s">
        <v>1</v>
      </c>
      <c r="E3596" s="15">
        <v>5.5060000000000002</v>
      </c>
    </row>
    <row r="3597" spans="1:5" x14ac:dyDescent="0.3">
      <c r="A3597" s="10">
        <v>245</v>
      </c>
      <c r="B3597" s="10">
        <v>25</v>
      </c>
      <c r="C3597" s="10" t="s">
        <v>26</v>
      </c>
      <c r="D3597" s="10" t="s">
        <v>64</v>
      </c>
      <c r="E3597" s="15">
        <v>9.3800000000000008</v>
      </c>
    </row>
    <row r="3598" spans="1:5" x14ac:dyDescent="0.3">
      <c r="A3598" s="10">
        <v>245</v>
      </c>
      <c r="B3598" s="10">
        <v>25</v>
      </c>
      <c r="C3598" s="10">
        <v>35</v>
      </c>
      <c r="D3598" s="10" t="s">
        <v>1</v>
      </c>
      <c r="E3598" s="15">
        <f>5.047-0.982+1.051-0.113-0.115-0.184-0.147-1.069+1.053-0.024-0.023-0.247-0.047-0.43-0.996-0.134</f>
        <v>2.6399999999999992</v>
      </c>
    </row>
    <row r="3599" spans="1:5" x14ac:dyDescent="0.3">
      <c r="A3599" s="10">
        <v>245</v>
      </c>
      <c r="B3599" s="10">
        <v>25</v>
      </c>
      <c r="C3599" s="10" t="s">
        <v>28</v>
      </c>
      <c r="D3599" s="10" t="s">
        <v>1</v>
      </c>
      <c r="E3599" s="15">
        <f>11.817-0.216-2.962-2.022</f>
        <v>6.6170000000000009</v>
      </c>
    </row>
    <row r="3600" spans="1:5" x14ac:dyDescent="0.3">
      <c r="A3600" s="8">
        <v>245</v>
      </c>
      <c r="B3600" s="8">
        <v>25</v>
      </c>
      <c r="C3600" s="8" t="s">
        <v>30</v>
      </c>
      <c r="D3600" s="8" t="s">
        <v>1</v>
      </c>
      <c r="E3600" s="9">
        <v>10</v>
      </c>
    </row>
    <row r="3601" spans="1:5" x14ac:dyDescent="0.3">
      <c r="A3601" s="10">
        <v>245</v>
      </c>
      <c r="B3601" s="10">
        <v>26</v>
      </c>
      <c r="C3601" s="10">
        <v>20</v>
      </c>
      <c r="D3601" s="10" t="s">
        <v>1</v>
      </c>
      <c r="E3601" s="15">
        <f>5.52-0.209-0.365-0.09-0.291-0.458-0.052-0.073-0.266-0.298-2.525-0.271-0.156-0.093-0.098-0.069-0.149</f>
        <v>5.6999999999999801E-2</v>
      </c>
    </row>
    <row r="3602" spans="1:5" x14ac:dyDescent="0.3">
      <c r="A3602" s="10">
        <v>245</v>
      </c>
      <c r="B3602" s="10">
        <v>26</v>
      </c>
      <c r="C3602" s="10">
        <v>20</v>
      </c>
      <c r="D3602" s="10" t="s">
        <v>32</v>
      </c>
      <c r="E3602" s="15">
        <v>0.755</v>
      </c>
    </row>
    <row r="3603" spans="1:5" x14ac:dyDescent="0.3">
      <c r="A3603" s="8">
        <v>245</v>
      </c>
      <c r="B3603" s="8">
        <v>26</v>
      </c>
      <c r="C3603" s="8">
        <v>20</v>
      </c>
      <c r="D3603" s="8" t="s">
        <v>32</v>
      </c>
      <c r="E3603" s="9">
        <f>1.468-0.755</f>
        <v>0.71299999999999997</v>
      </c>
    </row>
    <row r="3604" spans="1:5" x14ac:dyDescent="0.3">
      <c r="A3604" s="10">
        <v>245</v>
      </c>
      <c r="B3604" s="10">
        <v>28</v>
      </c>
      <c r="C3604" s="10">
        <v>20</v>
      </c>
      <c r="D3604" s="10" t="s">
        <v>1</v>
      </c>
      <c r="E3604" s="15">
        <f>6.248+13.158+13.179+6.518+4.914-3.305-0.383-0.174-0.985-0.082-5.005-0.026-0.022-0.512-0.068-0.053-0.165-0.022-3.872-1.645-0.163-0.534-0.163-0.089-0.665-0.382-3.316-0.11-4.976-0.05-1.421-0.187-0.203-0.216-3.328</f>
        <v>11.89500000000001</v>
      </c>
    </row>
    <row r="3605" spans="1:5" x14ac:dyDescent="0.3">
      <c r="A3605" s="10">
        <v>245</v>
      </c>
      <c r="B3605" s="10">
        <v>28</v>
      </c>
      <c r="C3605" s="10" t="s">
        <v>26</v>
      </c>
      <c r="D3605" s="10" t="s">
        <v>1</v>
      </c>
      <c r="E3605" s="15">
        <f>11.272-0.156-6.673-0.181-0.114-3.06+4.022+0.996+1.046+3.952+1.588-0.615-0.161-0.232-0.311-1.1-0.4-0.22-0.141-0.309-1.085-0.079-0.494-0.114-0.118-0.037-0.445-0.309-0.432-0.356-0.35-0.299-0.165-0.303</f>
        <v>4.6170000000000009</v>
      </c>
    </row>
    <row r="3606" spans="1:5" x14ac:dyDescent="0.3">
      <c r="A3606" s="8">
        <v>245</v>
      </c>
      <c r="B3606" s="8">
        <v>28</v>
      </c>
      <c r="C3606" s="8" t="s">
        <v>35</v>
      </c>
      <c r="D3606" s="8" t="s">
        <v>32</v>
      </c>
      <c r="E3606" s="9">
        <v>0.91900000000000004</v>
      </c>
    </row>
    <row r="3607" spans="1:5" x14ac:dyDescent="0.3">
      <c r="A3607" s="10">
        <v>245</v>
      </c>
      <c r="B3607" s="10">
        <v>28</v>
      </c>
      <c r="C3607" s="10">
        <v>45</v>
      </c>
      <c r="D3607" s="10" t="s">
        <v>1</v>
      </c>
      <c r="E3607" s="15">
        <f>1.086-1.067+4.208+13.182+6.696-0.975+23.488-6.183-0.129-3.36-1.12-1.675-3.348-5.032-0.964-0.082-0.462-0.114-0.082-3.358-0.156-0.097-0.158-3.351-0.335-0.312-0.087-6.723-0.188-1.091-1.68-0.02-0.462-0.158-0.386-0.311-0.368-0.032</f>
        <v>4.7940000000000023</v>
      </c>
    </row>
    <row r="3608" spans="1:5" x14ac:dyDescent="0.3">
      <c r="A3608" s="10">
        <v>245</v>
      </c>
      <c r="B3608" s="10">
        <v>28</v>
      </c>
      <c r="C3608" s="10" t="s">
        <v>28</v>
      </c>
      <c r="D3608" s="10" t="s">
        <v>1</v>
      </c>
      <c r="E3608" s="15">
        <f>10.778-0.147-0.065-0.31-1.938-0.178-0.445</f>
        <v>7.6949999999999985</v>
      </c>
    </row>
    <row r="3609" spans="1:5" x14ac:dyDescent="0.3">
      <c r="A3609" s="8">
        <v>245</v>
      </c>
      <c r="B3609" s="8">
        <v>28</v>
      </c>
      <c r="C3609" s="8" t="s">
        <v>30</v>
      </c>
      <c r="D3609" s="8" t="s">
        <v>1</v>
      </c>
      <c r="E3609" s="9">
        <v>10</v>
      </c>
    </row>
    <row r="3610" spans="1:5" x14ac:dyDescent="0.3">
      <c r="A3610" s="8">
        <v>245</v>
      </c>
      <c r="B3610" s="8">
        <v>28</v>
      </c>
      <c r="C3610" s="8" t="s">
        <v>31</v>
      </c>
      <c r="D3610" s="8" t="s">
        <v>32</v>
      </c>
      <c r="E3610" s="9">
        <f>0.89-0.107-0.108+1.665+3.77-0.702</f>
        <v>5.4079999999999995</v>
      </c>
    </row>
    <row r="3611" spans="1:5" x14ac:dyDescent="0.3">
      <c r="A3611" s="8">
        <v>245</v>
      </c>
      <c r="B3611" s="8">
        <v>28</v>
      </c>
      <c r="C3611" s="8" t="s">
        <v>31</v>
      </c>
      <c r="D3611" s="8" t="s">
        <v>32</v>
      </c>
      <c r="E3611" s="9">
        <f>5.435-3.77</f>
        <v>1.6649999999999996</v>
      </c>
    </row>
    <row r="3612" spans="1:5" x14ac:dyDescent="0.3">
      <c r="A3612" s="10">
        <v>245</v>
      </c>
      <c r="B3612" s="10">
        <v>30</v>
      </c>
      <c r="C3612" s="10">
        <v>20</v>
      </c>
      <c r="D3612" s="10" t="s">
        <v>1</v>
      </c>
      <c r="E3612" s="15">
        <f>9.978-0.25-0.299-0.056-0.405-0.894-0.168-0.093-0.168-0.05-0.109</f>
        <v>7.4860000000000015</v>
      </c>
    </row>
    <row r="3613" spans="1:5" x14ac:dyDescent="0.3">
      <c r="A3613" s="8">
        <v>245</v>
      </c>
      <c r="B3613" s="8">
        <v>30</v>
      </c>
      <c r="C3613" s="8">
        <v>20</v>
      </c>
      <c r="D3613" s="8" t="s">
        <v>32</v>
      </c>
      <c r="E3613" s="9">
        <v>2.101</v>
      </c>
    </row>
    <row r="3614" spans="1:5" x14ac:dyDescent="0.3">
      <c r="A3614" s="8">
        <v>245</v>
      </c>
      <c r="B3614" s="8">
        <v>30</v>
      </c>
      <c r="C3614" s="8" t="s">
        <v>26</v>
      </c>
      <c r="D3614" s="8" t="s">
        <v>64</v>
      </c>
      <c r="E3614" s="9">
        <f>3.714+6.098-0.167-0.117</f>
        <v>9.5279999999999987</v>
      </c>
    </row>
    <row r="3615" spans="1:5" x14ac:dyDescent="0.3">
      <c r="A3615" s="10">
        <v>245</v>
      </c>
      <c r="B3615" s="10">
        <v>30</v>
      </c>
      <c r="C3615" s="10" t="s">
        <v>35</v>
      </c>
      <c r="D3615" s="10" t="s">
        <v>32</v>
      </c>
      <c r="E3615" s="15">
        <f>3.578+1.882-1.762+3.505-1.33-1.28-3.684-0.351</f>
        <v>0.55799999999999894</v>
      </c>
    </row>
    <row r="3616" spans="1:5" x14ac:dyDescent="0.3">
      <c r="A3616" s="8">
        <v>245</v>
      </c>
      <c r="B3616" s="8">
        <v>30</v>
      </c>
      <c r="C3616" s="8" t="s">
        <v>35</v>
      </c>
      <c r="D3616" s="8" t="s">
        <v>32</v>
      </c>
      <c r="E3616" s="9">
        <v>10</v>
      </c>
    </row>
    <row r="3617" spans="1:5" x14ac:dyDescent="0.3">
      <c r="A3617" s="10">
        <v>245</v>
      </c>
      <c r="B3617" s="10">
        <v>30</v>
      </c>
      <c r="C3617" s="10">
        <v>35</v>
      </c>
      <c r="D3617" s="10" t="s">
        <v>1</v>
      </c>
      <c r="E3617" s="15">
        <f>9.902-0.506-2.057-1.96-0.558</f>
        <v>4.8209999999999988</v>
      </c>
    </row>
    <row r="3618" spans="1:5" x14ac:dyDescent="0.3">
      <c r="A3618" s="10">
        <v>245</v>
      </c>
      <c r="B3618" s="10">
        <v>30</v>
      </c>
      <c r="C3618" s="10">
        <v>45</v>
      </c>
      <c r="D3618" s="10" t="s">
        <v>1</v>
      </c>
      <c r="E3618" s="15">
        <f>11.592-0.975-1.026-0.248-0.982-0.307-0.501-0.886-0.486-0.689</f>
        <v>5.4920000000000018</v>
      </c>
    </row>
    <row r="3619" spans="1:5" x14ac:dyDescent="0.3">
      <c r="A3619" s="10">
        <v>245</v>
      </c>
      <c r="B3619" s="10">
        <v>30</v>
      </c>
      <c r="C3619" s="10">
        <v>45</v>
      </c>
      <c r="D3619" s="10" t="s">
        <v>1</v>
      </c>
      <c r="E3619" s="15">
        <f>5.922+3.046-3.11-1.444</f>
        <v>4.4140000000000006</v>
      </c>
    </row>
    <row r="3620" spans="1:5" x14ac:dyDescent="0.3">
      <c r="A3620" s="10">
        <v>245</v>
      </c>
      <c r="B3620" s="10">
        <v>30</v>
      </c>
      <c r="C3620" s="10" t="s">
        <v>28</v>
      </c>
      <c r="D3620" s="10" t="s">
        <v>1</v>
      </c>
      <c r="E3620" s="15">
        <f>10.157-0.488-0.97-1.418</f>
        <v>7.2809999999999997</v>
      </c>
    </row>
    <row r="3621" spans="1:5" x14ac:dyDescent="0.3">
      <c r="A3621" s="8">
        <v>245</v>
      </c>
      <c r="B3621" s="8">
        <v>30</v>
      </c>
      <c r="C3621" s="8" t="s">
        <v>28</v>
      </c>
      <c r="D3621" s="8" t="s">
        <v>1</v>
      </c>
      <c r="E3621" s="9">
        <v>1.0149999999999999</v>
      </c>
    </row>
    <row r="3622" spans="1:5" x14ac:dyDescent="0.3">
      <c r="A3622" s="8">
        <v>245</v>
      </c>
      <c r="B3622" s="8">
        <v>30</v>
      </c>
      <c r="C3622" s="8" t="s">
        <v>30</v>
      </c>
      <c r="D3622" s="8" t="s">
        <v>1</v>
      </c>
      <c r="E3622" s="9">
        <v>7</v>
      </c>
    </row>
    <row r="3623" spans="1:5" x14ac:dyDescent="0.3">
      <c r="A3623" s="8">
        <v>245</v>
      </c>
      <c r="B3623" s="8">
        <v>30</v>
      </c>
      <c r="C3623" s="8" t="s">
        <v>45</v>
      </c>
      <c r="D3623" s="8" t="s">
        <v>32</v>
      </c>
      <c r="E3623" s="9">
        <v>5</v>
      </c>
    </row>
    <row r="3624" spans="1:5" x14ac:dyDescent="0.3">
      <c r="A3624" s="10">
        <v>245</v>
      </c>
      <c r="B3624" s="10">
        <v>32</v>
      </c>
      <c r="C3624" s="10">
        <v>20</v>
      </c>
      <c r="D3624" s="10" t="s">
        <v>64</v>
      </c>
      <c r="E3624" s="15">
        <f>5.041-0.237-0.206-0.125-0.427-0.346-0.174-2.069-0.211-0.345-0.714+0.341+9.78-0.119-0.184-0.068-0.968-0.107-0.515-0.026-0.348-0.093-0.385-0.122-0.473-0.178-0.427-0.166</f>
        <v>6.1290000000000022</v>
      </c>
    </row>
    <row r="3625" spans="1:5" x14ac:dyDescent="0.3">
      <c r="A3625" s="10">
        <v>245</v>
      </c>
      <c r="B3625" s="10">
        <v>32</v>
      </c>
      <c r="C3625" s="10" t="s">
        <v>26</v>
      </c>
      <c r="D3625" s="10" t="s">
        <v>1</v>
      </c>
      <c r="E3625" s="15">
        <f>3.32+3.356-0.074</f>
        <v>6.6020000000000003</v>
      </c>
    </row>
    <row r="3626" spans="1:5" x14ac:dyDescent="0.3">
      <c r="A3626" s="8">
        <v>245</v>
      </c>
      <c r="B3626" s="8">
        <v>32</v>
      </c>
      <c r="C3626" s="8">
        <v>35</v>
      </c>
      <c r="D3626" s="8" t="s">
        <v>1</v>
      </c>
      <c r="E3626" s="9">
        <f>9.932-1.503</f>
        <v>8.4290000000000003</v>
      </c>
    </row>
    <row r="3627" spans="1:5" x14ac:dyDescent="0.3">
      <c r="A3627" s="8">
        <v>245</v>
      </c>
      <c r="B3627" s="8">
        <v>32</v>
      </c>
      <c r="C3627" s="8">
        <v>45</v>
      </c>
      <c r="D3627" s="8" t="s">
        <v>1</v>
      </c>
      <c r="E3627" s="9">
        <f>8.74+4.04</f>
        <v>12.780000000000001</v>
      </c>
    </row>
    <row r="3628" spans="1:5" x14ac:dyDescent="0.3">
      <c r="A3628" s="8">
        <v>245</v>
      </c>
      <c r="B3628" s="8">
        <v>32</v>
      </c>
      <c r="C3628" s="8">
        <v>45</v>
      </c>
      <c r="D3628" s="8" t="s">
        <v>1</v>
      </c>
      <c r="E3628" s="9">
        <v>5</v>
      </c>
    </row>
    <row r="3629" spans="1:5" x14ac:dyDescent="0.3">
      <c r="A3629" s="10">
        <v>245</v>
      </c>
      <c r="B3629" s="10">
        <v>32</v>
      </c>
      <c r="C3629" s="10" t="s">
        <v>36</v>
      </c>
      <c r="D3629" s="10" t="s">
        <v>1</v>
      </c>
      <c r="E3629" s="15">
        <f>6.05+2.06+2.325-2.085</f>
        <v>8.3499999999999979</v>
      </c>
    </row>
    <row r="3630" spans="1:5" x14ac:dyDescent="0.3">
      <c r="A3630" s="10">
        <v>245</v>
      </c>
      <c r="B3630" s="10">
        <v>32</v>
      </c>
      <c r="C3630" s="10" t="s">
        <v>28</v>
      </c>
      <c r="D3630" s="10" t="s">
        <v>1</v>
      </c>
      <c r="E3630" s="15">
        <f>15.965-1.479-0.266+0.003-0.438-0.855-1.785-0.177-1.646-0.194-1.673-0.177+5.185+19.75+1.069+0.037-1.051-2.078-0.179-0.037-1.299-2.602-1.057-0.127-0.318-0.761-1.095-0.788-0.155-0.067</f>
        <v>21.704999999999998</v>
      </c>
    </row>
    <row r="3631" spans="1:5" x14ac:dyDescent="0.3">
      <c r="A3631" s="10">
        <v>245</v>
      </c>
      <c r="B3631" s="10">
        <v>32</v>
      </c>
      <c r="C3631" s="10" t="s">
        <v>30</v>
      </c>
      <c r="D3631" s="10" t="s">
        <v>1</v>
      </c>
      <c r="E3631" s="15">
        <f>21.912-1.645+1.185-0.111-1.095-0.066-0.523-0.225-1.614-0.048-6.428-1.573-1.618-0.523-0.163-1.535-1.604-0.723-0.092+4.925-0.103-0.092-0.267-0.111-0.092-0.18-0.033-0.352-0.18-0.424-0.092-1.334-0.819-0.263-0.182-0.891-0.222-0.04-0.146-1.619-0.971+0.05</f>
        <v>7.2999999999998691E-2</v>
      </c>
    </row>
    <row r="3632" spans="1:5" x14ac:dyDescent="0.3">
      <c r="A3632" s="10">
        <v>245</v>
      </c>
      <c r="B3632" s="10">
        <v>32</v>
      </c>
      <c r="C3632" s="10" t="s">
        <v>30</v>
      </c>
      <c r="D3632" s="10" t="s">
        <v>1</v>
      </c>
      <c r="E3632" s="15">
        <f>2.395-1.236</f>
        <v>1.159</v>
      </c>
    </row>
    <row r="3633" spans="1:5" x14ac:dyDescent="0.3">
      <c r="A3633" s="10">
        <v>245</v>
      </c>
      <c r="B3633" s="10">
        <v>32</v>
      </c>
      <c r="C3633" s="10" t="s">
        <v>30</v>
      </c>
      <c r="D3633" s="10" t="s">
        <v>1</v>
      </c>
      <c r="E3633" s="15">
        <f>0.98+1.195+1.145-1+2.395</f>
        <v>4.7149999999999999</v>
      </c>
    </row>
    <row r="3634" spans="1:5" x14ac:dyDescent="0.3">
      <c r="A3634" s="10">
        <v>245</v>
      </c>
      <c r="B3634" s="10">
        <v>32</v>
      </c>
      <c r="C3634" s="10" t="s">
        <v>30</v>
      </c>
      <c r="D3634" s="10" t="s">
        <v>1</v>
      </c>
      <c r="E3634" s="15">
        <f>10.1-0.98-1.195-1.145-2.395-2.395</f>
        <v>1.9899999999999998</v>
      </c>
    </row>
    <row r="3635" spans="1:5" x14ac:dyDescent="0.3">
      <c r="A3635" s="8">
        <v>245</v>
      </c>
      <c r="B3635" s="8">
        <v>32</v>
      </c>
      <c r="C3635" s="8" t="s">
        <v>30</v>
      </c>
      <c r="D3635" s="8" t="s">
        <v>1</v>
      </c>
      <c r="E3635" s="9">
        <v>10</v>
      </c>
    </row>
    <row r="3636" spans="1:5" x14ac:dyDescent="0.3">
      <c r="A3636" s="10">
        <v>245</v>
      </c>
      <c r="B3636" s="10">
        <v>32</v>
      </c>
      <c r="C3636" s="10" t="s">
        <v>106</v>
      </c>
      <c r="D3636" s="10" t="s">
        <v>1</v>
      </c>
      <c r="E3636" s="15">
        <f>1.035+1.015+2.05-1.015</f>
        <v>3.085</v>
      </c>
    </row>
    <row r="3637" spans="1:5" x14ac:dyDescent="0.3">
      <c r="A3637" s="8">
        <v>245</v>
      </c>
      <c r="B3637" s="8">
        <v>32</v>
      </c>
      <c r="C3637" s="8" t="s">
        <v>106</v>
      </c>
      <c r="D3637" s="8" t="s">
        <v>1</v>
      </c>
      <c r="E3637" s="9">
        <f>2.065+1.015-1.042</f>
        <v>2.0380000000000003</v>
      </c>
    </row>
    <row r="3638" spans="1:5" x14ac:dyDescent="0.3">
      <c r="A3638" s="10">
        <v>245</v>
      </c>
      <c r="B3638" s="10">
        <v>34</v>
      </c>
      <c r="C3638" s="10" t="s">
        <v>31</v>
      </c>
      <c r="D3638" s="10" t="s">
        <v>32</v>
      </c>
      <c r="E3638" s="15">
        <f>4.03-2.03</f>
        <v>2.0000000000000004</v>
      </c>
    </row>
    <row r="3639" spans="1:5" x14ac:dyDescent="0.3">
      <c r="A3639" s="8">
        <v>245</v>
      </c>
      <c r="B3639" s="8">
        <v>36</v>
      </c>
      <c r="C3639" s="8">
        <v>20</v>
      </c>
      <c r="D3639" s="8" t="s">
        <v>1</v>
      </c>
      <c r="E3639" s="9">
        <v>15</v>
      </c>
    </row>
    <row r="3640" spans="1:5" x14ac:dyDescent="0.3">
      <c r="A3640" s="10">
        <v>245</v>
      </c>
      <c r="B3640" s="10">
        <v>36</v>
      </c>
      <c r="C3640" s="10" t="s">
        <v>26</v>
      </c>
      <c r="D3640" s="10" t="s">
        <v>1</v>
      </c>
      <c r="E3640" s="15">
        <f>8.243-0.288</f>
        <v>7.9550000000000001</v>
      </c>
    </row>
    <row r="3641" spans="1:5" x14ac:dyDescent="0.3">
      <c r="A3641" s="8">
        <v>245</v>
      </c>
      <c r="B3641" s="8">
        <v>36</v>
      </c>
      <c r="C3641" s="8" t="s">
        <v>26</v>
      </c>
      <c r="D3641" s="8" t="s">
        <v>1</v>
      </c>
      <c r="E3641" s="9">
        <f>10-8.243</f>
        <v>1.7569999999999997</v>
      </c>
    </row>
    <row r="3642" spans="1:5" x14ac:dyDescent="0.3">
      <c r="A3642" s="10">
        <v>245</v>
      </c>
      <c r="B3642" s="10">
        <v>36</v>
      </c>
      <c r="C3642" s="10">
        <v>35</v>
      </c>
      <c r="D3642" s="10" t="s">
        <v>1</v>
      </c>
      <c r="E3642" s="15">
        <f>5.901-0.439-0.67-0.454-0.186-0.657-1.18+2.008+2.102+1.182-1.207-0.197-0.757-0.783-0.572-0.559-0.286+8.468+5.947</f>
        <v>17.661000000000001</v>
      </c>
    </row>
    <row r="3643" spans="1:5" x14ac:dyDescent="0.3">
      <c r="A3643" s="8">
        <v>245</v>
      </c>
      <c r="B3643" s="8">
        <v>36</v>
      </c>
      <c r="C3643" s="8">
        <v>35</v>
      </c>
      <c r="D3643" s="8" t="s">
        <v>1</v>
      </c>
      <c r="E3643" s="9">
        <f>17.2-8.26-5.82</f>
        <v>3.1199999999999992</v>
      </c>
    </row>
    <row r="3644" spans="1:5" x14ac:dyDescent="0.3">
      <c r="A3644" s="10">
        <v>245</v>
      </c>
      <c r="B3644" s="10">
        <v>36</v>
      </c>
      <c r="C3644" s="10">
        <v>45</v>
      </c>
      <c r="D3644" s="10" t="s">
        <v>1</v>
      </c>
      <c r="E3644" s="15">
        <f>7.207-0.162-1.031-1.193-0.473-0.053-0.473-0.287-0.103-1.204-0.093-2.122</f>
        <v>1.2999999999999901E-2</v>
      </c>
    </row>
    <row r="3645" spans="1:5" x14ac:dyDescent="0.3">
      <c r="A3645" s="10">
        <v>245</v>
      </c>
      <c r="B3645" s="10">
        <v>36</v>
      </c>
      <c r="C3645" s="10">
        <v>45</v>
      </c>
      <c r="D3645" s="10" t="s">
        <v>1</v>
      </c>
      <c r="E3645" s="15">
        <f>4.19+8.416-0.102-0.577-0.387-0.239-0.198-0.477</f>
        <v>10.625999999999999</v>
      </c>
    </row>
    <row r="3646" spans="1:5" x14ac:dyDescent="0.3">
      <c r="A3646" s="8">
        <v>245</v>
      </c>
      <c r="B3646" s="8">
        <v>36</v>
      </c>
      <c r="C3646" s="8" t="s">
        <v>35</v>
      </c>
      <c r="D3646" s="8" t="s">
        <v>32</v>
      </c>
      <c r="E3646" s="9">
        <v>0.98599999999999999</v>
      </c>
    </row>
    <row r="3647" spans="1:5" x14ac:dyDescent="0.3">
      <c r="A3647" s="10">
        <v>245</v>
      </c>
      <c r="B3647" s="10">
        <v>36</v>
      </c>
      <c r="C3647" s="10" t="s">
        <v>36</v>
      </c>
      <c r="D3647" s="10" t="s">
        <v>1</v>
      </c>
      <c r="E3647" s="15">
        <f>2.58+2.45+2.57+1.22-1.228-6.598</f>
        <v>0.99400000000000066</v>
      </c>
    </row>
    <row r="3648" spans="1:5" x14ac:dyDescent="0.3">
      <c r="A3648" s="10">
        <v>245</v>
      </c>
      <c r="B3648" s="10">
        <v>36</v>
      </c>
      <c r="C3648" s="10" t="s">
        <v>36</v>
      </c>
      <c r="D3648" s="10" t="s">
        <v>1</v>
      </c>
      <c r="E3648" s="15">
        <f>2.525+6.598-0.382</f>
        <v>8.7409999999999997</v>
      </c>
    </row>
    <row r="3649" spans="1:5" x14ac:dyDescent="0.3">
      <c r="A3649" s="10">
        <v>245</v>
      </c>
      <c r="B3649" s="10">
        <v>36</v>
      </c>
      <c r="C3649" s="10" t="s">
        <v>28</v>
      </c>
      <c r="D3649" s="10" t="s">
        <v>1</v>
      </c>
      <c r="E3649" s="15">
        <f>5.271-0.388-1.367-1.767</f>
        <v>1.7490000000000001</v>
      </c>
    </row>
    <row r="3650" spans="1:5" x14ac:dyDescent="0.3">
      <c r="A3650" s="8">
        <v>245</v>
      </c>
      <c r="B3650" s="8">
        <v>36</v>
      </c>
      <c r="C3650" s="8" t="s">
        <v>28</v>
      </c>
      <c r="D3650" s="8" t="s">
        <v>1</v>
      </c>
      <c r="E3650" s="9">
        <v>10</v>
      </c>
    </row>
    <row r="3651" spans="1:5" x14ac:dyDescent="0.3">
      <c r="A3651" s="10">
        <v>245</v>
      </c>
      <c r="B3651" s="10">
        <v>36</v>
      </c>
      <c r="C3651" s="10" t="s">
        <v>30</v>
      </c>
      <c r="D3651" s="10" t="s">
        <v>1</v>
      </c>
      <c r="E3651" s="15">
        <f>4.775-0.185-0.027-0.128-0.662-1.612-0.613+4.765+4.77</f>
        <v>11.083</v>
      </c>
    </row>
    <row r="3652" spans="1:5" x14ac:dyDescent="0.3">
      <c r="A3652" s="8">
        <v>245</v>
      </c>
      <c r="B3652" s="8">
        <v>36</v>
      </c>
      <c r="C3652" s="8" t="s">
        <v>106</v>
      </c>
      <c r="D3652" s="8" t="s">
        <v>1</v>
      </c>
      <c r="E3652" s="9">
        <f>4.69-1.092</f>
        <v>3.5980000000000003</v>
      </c>
    </row>
    <row r="3653" spans="1:5" x14ac:dyDescent="0.3">
      <c r="A3653" s="8">
        <v>245</v>
      </c>
      <c r="B3653" s="8">
        <v>40</v>
      </c>
      <c r="C3653" s="8">
        <v>20</v>
      </c>
      <c r="D3653" s="8" t="s">
        <v>1</v>
      </c>
      <c r="E3653" s="9">
        <v>5</v>
      </c>
    </row>
    <row r="3654" spans="1:5" x14ac:dyDescent="0.3">
      <c r="A3654" s="10">
        <v>245</v>
      </c>
      <c r="B3654" s="10">
        <v>40</v>
      </c>
      <c r="C3654" s="10">
        <v>20</v>
      </c>
      <c r="D3654" s="10" t="s">
        <v>32</v>
      </c>
      <c r="E3654" s="15">
        <f>0.804+1.199-0.806</f>
        <v>1.1970000000000001</v>
      </c>
    </row>
    <row r="3655" spans="1:5" x14ac:dyDescent="0.3">
      <c r="A3655" s="10">
        <v>245</v>
      </c>
      <c r="B3655" s="10">
        <v>40</v>
      </c>
      <c r="C3655" s="10">
        <v>20</v>
      </c>
      <c r="D3655" s="10" t="s">
        <v>32</v>
      </c>
      <c r="E3655" s="15">
        <v>0.86499999999999999</v>
      </c>
    </row>
    <row r="3656" spans="1:5" x14ac:dyDescent="0.3">
      <c r="A3656" s="8">
        <v>245</v>
      </c>
      <c r="B3656" s="8">
        <v>40</v>
      </c>
      <c r="C3656" s="8" t="s">
        <v>26</v>
      </c>
      <c r="D3656" s="8" t="s">
        <v>64</v>
      </c>
      <c r="E3656" s="9">
        <f>6.618-1.978-0.253-0.365-0.392-0.212</f>
        <v>3.4180000000000001</v>
      </c>
    </row>
    <row r="3657" spans="1:5" x14ac:dyDescent="0.3">
      <c r="A3657" s="10">
        <v>245</v>
      </c>
      <c r="B3657" s="10">
        <v>40</v>
      </c>
      <c r="C3657" s="10">
        <v>35</v>
      </c>
      <c r="D3657" s="10" t="s">
        <v>1</v>
      </c>
      <c r="E3657" s="15">
        <f>6.721-0.234-4.252-0.625-0.526</f>
        <v>1.0840000000000003</v>
      </c>
    </row>
    <row r="3658" spans="1:5" x14ac:dyDescent="0.3">
      <c r="A3658" s="8">
        <v>245</v>
      </c>
      <c r="B3658" s="8">
        <v>40</v>
      </c>
      <c r="C3658" s="8">
        <v>35</v>
      </c>
      <c r="D3658" s="8" t="s">
        <v>1</v>
      </c>
      <c r="E3658" s="9">
        <v>10</v>
      </c>
    </row>
    <row r="3659" spans="1:5" x14ac:dyDescent="0.3">
      <c r="A3659" s="10">
        <v>245</v>
      </c>
      <c r="B3659" s="10">
        <v>40</v>
      </c>
      <c r="C3659" s="10">
        <v>45</v>
      </c>
      <c r="D3659" s="10" t="s">
        <v>1</v>
      </c>
      <c r="E3659" s="15">
        <f>12.964-0.826-0.724-2.141</f>
        <v>9.2729999999999997</v>
      </c>
    </row>
    <row r="3660" spans="1:5" x14ac:dyDescent="0.3">
      <c r="A3660" s="10">
        <v>245</v>
      </c>
      <c r="B3660" s="10">
        <v>40</v>
      </c>
      <c r="C3660" s="10" t="s">
        <v>28</v>
      </c>
      <c r="D3660" s="10" t="s">
        <v>1</v>
      </c>
      <c r="E3660" s="15">
        <f>3.65-0.21-1.058-0.496-0.512-0.781-0.449+4.8-0.137+4.13-0.618-0.953-1.264-0.029</f>
        <v>6.0729999999999968</v>
      </c>
    </row>
    <row r="3661" spans="1:5" x14ac:dyDescent="0.3">
      <c r="A3661" s="8">
        <v>245</v>
      </c>
      <c r="B3661" s="8">
        <v>40</v>
      </c>
      <c r="C3661" s="8" t="s">
        <v>30</v>
      </c>
      <c r="D3661" s="8" t="s">
        <v>1</v>
      </c>
      <c r="E3661" s="9">
        <f>11.234-1.677-0.178-1.919-0.324-0.428-1.93-0.032-0.925-0.301</f>
        <v>3.5199999999999996</v>
      </c>
    </row>
    <row r="3662" spans="1:5" x14ac:dyDescent="0.3">
      <c r="A3662" s="10">
        <v>245</v>
      </c>
      <c r="B3662" s="10">
        <v>40</v>
      </c>
      <c r="C3662" s="10" t="s">
        <v>30</v>
      </c>
      <c r="D3662" s="10" t="s">
        <v>1</v>
      </c>
      <c r="E3662" s="15">
        <f>1.185+2.33</f>
        <v>3.5150000000000001</v>
      </c>
    </row>
    <row r="3663" spans="1:5" x14ac:dyDescent="0.3">
      <c r="A3663" s="10">
        <v>245</v>
      </c>
      <c r="B3663" s="10">
        <v>40</v>
      </c>
      <c r="C3663" s="10" t="s">
        <v>30</v>
      </c>
      <c r="D3663" s="10" t="s">
        <v>1</v>
      </c>
      <c r="E3663" s="15">
        <f>5-1.185-2.33</f>
        <v>1.4849999999999999</v>
      </c>
    </row>
    <row r="3664" spans="1:5" x14ac:dyDescent="0.3">
      <c r="A3664" s="10">
        <v>245</v>
      </c>
      <c r="B3664" s="10">
        <v>45</v>
      </c>
      <c r="C3664" s="10">
        <v>20</v>
      </c>
      <c r="D3664" s="10" t="s">
        <v>1</v>
      </c>
      <c r="E3664" s="15">
        <f>4.801-1.192-0.225-0.189-1.217-0.778-0.796+4.992-0.414-0.098-0.303-1.22-1.263-0.023+6.946-1.265-0.858-0.236-1.406-2.274-0.238-2.418</f>
        <v>0.32600000000000184</v>
      </c>
    </row>
    <row r="3665" spans="1:5" x14ac:dyDescent="0.3">
      <c r="A3665" s="8">
        <v>245</v>
      </c>
      <c r="B3665" s="8">
        <v>45</v>
      </c>
      <c r="C3665" s="8">
        <v>20</v>
      </c>
      <c r="D3665" s="8" t="s">
        <v>1</v>
      </c>
      <c r="E3665" s="9">
        <v>10</v>
      </c>
    </row>
    <row r="3666" spans="1:5" x14ac:dyDescent="0.3">
      <c r="A3666" s="8">
        <v>245</v>
      </c>
      <c r="B3666" s="8">
        <v>45</v>
      </c>
      <c r="C3666" s="8" t="s">
        <v>26</v>
      </c>
      <c r="D3666" s="8" t="s">
        <v>1</v>
      </c>
      <c r="E3666" s="9">
        <f>4.9-0.346-1.645</f>
        <v>2.9090000000000003</v>
      </c>
    </row>
    <row r="3667" spans="1:5" x14ac:dyDescent="0.3">
      <c r="A3667" s="8">
        <v>245</v>
      </c>
      <c r="B3667" s="8">
        <v>45</v>
      </c>
      <c r="C3667" s="8" t="s">
        <v>26</v>
      </c>
      <c r="D3667" s="8" t="s">
        <v>1</v>
      </c>
      <c r="E3667" s="9">
        <f>16.204-4.9</f>
        <v>11.304</v>
      </c>
    </row>
    <row r="3668" spans="1:5" x14ac:dyDescent="0.3">
      <c r="A3668" s="8">
        <v>245</v>
      </c>
      <c r="B3668" s="8">
        <v>45</v>
      </c>
      <c r="C3668" s="8">
        <v>35</v>
      </c>
      <c r="D3668" s="8" t="s">
        <v>15</v>
      </c>
      <c r="E3668" s="9">
        <f>22.363+4.44-2.258+1.125-0.057-2.213-0.685-0.387-0.238-0.12-0.238-1.432</f>
        <v>20.300000000000004</v>
      </c>
    </row>
    <row r="3669" spans="1:5" x14ac:dyDescent="0.3">
      <c r="A3669" s="10">
        <v>245</v>
      </c>
      <c r="B3669" s="10">
        <v>45</v>
      </c>
      <c r="C3669" s="10" t="s">
        <v>28</v>
      </c>
      <c r="D3669" s="10" t="s">
        <v>1</v>
      </c>
      <c r="E3669" s="15">
        <f>1.682-0.386-0.277</f>
        <v>1.0189999999999997</v>
      </c>
    </row>
    <row r="3670" spans="1:5" x14ac:dyDescent="0.3">
      <c r="A3670" s="10">
        <v>245</v>
      </c>
      <c r="B3670" s="10">
        <v>45</v>
      </c>
      <c r="C3670" s="10" t="s">
        <v>28</v>
      </c>
      <c r="D3670" s="10" t="s">
        <v>1</v>
      </c>
      <c r="E3670" s="15">
        <f>1.727+1.727</f>
        <v>3.4540000000000002</v>
      </c>
    </row>
    <row r="3671" spans="1:5" x14ac:dyDescent="0.3">
      <c r="A3671" s="10">
        <v>245</v>
      </c>
      <c r="B3671" s="10">
        <v>45</v>
      </c>
      <c r="C3671" s="10" t="s">
        <v>30</v>
      </c>
      <c r="D3671" s="10" t="s">
        <v>1</v>
      </c>
      <c r="E3671" s="15">
        <f>2.345+4.7-0.479-0.696-0.188</f>
        <v>5.6820000000000004</v>
      </c>
    </row>
    <row r="3672" spans="1:5" x14ac:dyDescent="0.3">
      <c r="A3672" s="8">
        <v>245</v>
      </c>
      <c r="B3672" s="8">
        <v>45</v>
      </c>
      <c r="C3672" s="8" t="s">
        <v>30</v>
      </c>
      <c r="D3672" s="8" t="s">
        <v>1</v>
      </c>
      <c r="E3672" s="9">
        <v>10</v>
      </c>
    </row>
    <row r="3673" spans="1:5" x14ac:dyDescent="0.3">
      <c r="A3673" s="10">
        <v>245</v>
      </c>
      <c r="B3673" s="10">
        <v>45</v>
      </c>
      <c r="C3673" s="10" t="s">
        <v>106</v>
      </c>
      <c r="D3673" s="10" t="s">
        <v>1</v>
      </c>
      <c r="E3673" s="15">
        <f>7.34+2.385-1.267</f>
        <v>8.4580000000000002</v>
      </c>
    </row>
    <row r="3674" spans="1:5" x14ac:dyDescent="0.3">
      <c r="A3674" s="8">
        <v>245</v>
      </c>
      <c r="B3674" s="8">
        <v>45</v>
      </c>
      <c r="C3674" s="8" t="s">
        <v>31</v>
      </c>
      <c r="D3674" s="8" t="s">
        <v>32</v>
      </c>
      <c r="E3674" s="9">
        <f>4.035-0.422-0.716+2.197+1.151</f>
        <v>6.2450000000000001</v>
      </c>
    </row>
    <row r="3675" spans="1:5" x14ac:dyDescent="0.3">
      <c r="A3675" s="10">
        <v>245</v>
      </c>
      <c r="B3675" s="10">
        <v>45</v>
      </c>
      <c r="C3675" s="10" t="s">
        <v>31</v>
      </c>
      <c r="D3675" s="10" t="s">
        <v>32</v>
      </c>
      <c r="E3675" s="15">
        <v>0.86499999999999999</v>
      </c>
    </row>
    <row r="3676" spans="1:5" x14ac:dyDescent="0.3">
      <c r="A3676" s="8">
        <v>245</v>
      </c>
      <c r="B3676" s="8">
        <v>45</v>
      </c>
      <c r="C3676" s="8" t="s">
        <v>45</v>
      </c>
      <c r="D3676" s="8" t="s">
        <v>32</v>
      </c>
      <c r="E3676" s="9">
        <f>2.575+2.485+5.37</f>
        <v>10.43</v>
      </c>
    </row>
    <row r="3677" spans="1:5" x14ac:dyDescent="0.3">
      <c r="A3677" s="10">
        <v>245</v>
      </c>
      <c r="B3677" s="10">
        <v>45</v>
      </c>
      <c r="C3677" s="10" t="s">
        <v>45</v>
      </c>
      <c r="D3677" s="10" t="s">
        <v>32</v>
      </c>
      <c r="E3677" s="15">
        <v>2.395</v>
      </c>
    </row>
    <row r="3678" spans="1:5" x14ac:dyDescent="0.3">
      <c r="A3678" s="8">
        <v>245</v>
      </c>
      <c r="B3678" s="8">
        <v>45</v>
      </c>
      <c r="C3678" s="8" t="s">
        <v>45</v>
      </c>
      <c r="D3678" s="8" t="s">
        <v>32</v>
      </c>
      <c r="E3678" s="9">
        <f>11.615-2.395</f>
        <v>9.2200000000000006</v>
      </c>
    </row>
    <row r="3679" spans="1:5" x14ac:dyDescent="0.3">
      <c r="A3679" s="10">
        <v>245</v>
      </c>
      <c r="B3679" s="10">
        <v>48</v>
      </c>
      <c r="C3679" s="10" t="s">
        <v>45</v>
      </c>
      <c r="D3679" s="10" t="s">
        <v>32</v>
      </c>
      <c r="E3679" s="15">
        <f>5.26-1.43</f>
        <v>3.83</v>
      </c>
    </row>
    <row r="3680" spans="1:5" x14ac:dyDescent="0.3">
      <c r="A3680" s="8">
        <v>245</v>
      </c>
      <c r="B3680" s="8">
        <v>48</v>
      </c>
      <c r="C3680" s="8" t="s">
        <v>45</v>
      </c>
      <c r="D3680" s="8" t="s">
        <v>32</v>
      </c>
      <c r="E3680" s="9">
        <v>15</v>
      </c>
    </row>
    <row r="3681" spans="1:5" x14ac:dyDescent="0.3">
      <c r="A3681" s="8">
        <v>245</v>
      </c>
      <c r="B3681" s="8">
        <v>50</v>
      </c>
      <c r="C3681" s="8">
        <v>20</v>
      </c>
      <c r="D3681" s="8" t="s">
        <v>1</v>
      </c>
      <c r="E3681" s="9">
        <v>10</v>
      </c>
    </row>
    <row r="3682" spans="1:5" x14ac:dyDescent="0.3">
      <c r="A3682" s="10">
        <v>245</v>
      </c>
      <c r="B3682" s="10">
        <v>50</v>
      </c>
      <c r="C3682" s="10" t="s">
        <v>26</v>
      </c>
      <c r="D3682" s="10" t="s">
        <v>1</v>
      </c>
      <c r="E3682" s="15">
        <f>7.115-0.496-0.666-2.44-1.195-0.377+1.908+1.654+2.076+3.772-1.654-0.11-0.357-0.17-2.076-1.894-1.938-1.188-0.289-0.353-0.088-1.343+0.177+8.154</f>
        <v>8.2219999999999995</v>
      </c>
    </row>
    <row r="3683" spans="1:5" x14ac:dyDescent="0.3">
      <c r="A3683" s="8">
        <v>245</v>
      </c>
      <c r="B3683" s="8">
        <v>50</v>
      </c>
      <c r="C3683" s="8">
        <v>35</v>
      </c>
      <c r="D3683" s="8" t="s">
        <v>1</v>
      </c>
      <c r="E3683" s="9">
        <v>7</v>
      </c>
    </row>
    <row r="3684" spans="1:5" x14ac:dyDescent="0.3">
      <c r="A3684" s="10">
        <v>245</v>
      </c>
      <c r="B3684" s="10">
        <v>50</v>
      </c>
      <c r="C3684" s="10">
        <v>45</v>
      </c>
      <c r="D3684" s="10" t="s">
        <v>1</v>
      </c>
      <c r="E3684" s="15">
        <f>6.366-2.199-0.66-0.374-2.195</f>
        <v>0.93799999999999972</v>
      </c>
    </row>
    <row r="3685" spans="1:5" x14ac:dyDescent="0.3">
      <c r="A3685" s="8">
        <v>245</v>
      </c>
      <c r="B3685" s="8">
        <v>50</v>
      </c>
      <c r="C3685" s="8">
        <v>45</v>
      </c>
      <c r="D3685" s="8" t="s">
        <v>1</v>
      </c>
      <c r="E3685" s="9">
        <v>5</v>
      </c>
    </row>
    <row r="3686" spans="1:5" x14ac:dyDescent="0.3">
      <c r="A3686" s="10">
        <v>245</v>
      </c>
      <c r="B3686" s="10">
        <v>50</v>
      </c>
      <c r="C3686" s="10" t="s">
        <v>28</v>
      </c>
      <c r="D3686" s="10" t="s">
        <v>1</v>
      </c>
      <c r="E3686" s="15">
        <f>0.278-0.082-0.148</f>
        <v>4.8000000000000015E-2</v>
      </c>
    </row>
    <row r="3687" spans="1:5" x14ac:dyDescent="0.3">
      <c r="A3687" s="10">
        <v>245</v>
      </c>
      <c r="B3687" s="10">
        <v>50</v>
      </c>
      <c r="C3687" s="10" t="s">
        <v>28</v>
      </c>
      <c r="D3687" s="10" t="s">
        <v>1</v>
      </c>
      <c r="E3687" s="15">
        <f>4.77+2.4-0.275-1.236-0.945-1.219-0.054-0.741-0.253-0.178-0.185-0.088-0.18-0.192-0.586-0.294</f>
        <v>0.74399999999999933</v>
      </c>
    </row>
    <row r="3688" spans="1:5" x14ac:dyDescent="0.3">
      <c r="A3688" s="10">
        <v>245</v>
      </c>
      <c r="B3688" s="10">
        <v>50</v>
      </c>
      <c r="C3688" s="10" t="s">
        <v>28</v>
      </c>
      <c r="D3688" s="10" t="s">
        <v>1</v>
      </c>
      <c r="E3688" s="15">
        <v>4.91</v>
      </c>
    </row>
    <row r="3689" spans="1:5" x14ac:dyDescent="0.3">
      <c r="A3689" s="10">
        <v>245</v>
      </c>
      <c r="B3689" s="10">
        <v>50</v>
      </c>
      <c r="C3689" s="10" t="s">
        <v>30</v>
      </c>
      <c r="D3689" s="10" t="s">
        <v>1</v>
      </c>
      <c r="E3689" s="15">
        <f>4.93-1.27-0.712-0.544-0.219-0.135-0.615-0.916+6.16-0.191-0.132-0.33</f>
        <v>6.0260000000000007</v>
      </c>
    </row>
    <row r="3690" spans="1:5" x14ac:dyDescent="0.3">
      <c r="A3690" s="8">
        <v>245</v>
      </c>
      <c r="B3690" s="8">
        <v>50</v>
      </c>
      <c r="C3690" s="8" t="s">
        <v>106</v>
      </c>
      <c r="D3690" s="8" t="s">
        <v>1</v>
      </c>
      <c r="E3690" s="9">
        <f>9.91-0.566-0.275-0.374+11.332</f>
        <v>20.027000000000001</v>
      </c>
    </row>
    <row r="3691" spans="1:5" x14ac:dyDescent="0.3">
      <c r="A3691" s="10">
        <v>245</v>
      </c>
      <c r="B3691" s="10">
        <v>55</v>
      </c>
      <c r="C3691" s="10">
        <v>45</v>
      </c>
      <c r="D3691" s="10" t="s">
        <v>64</v>
      </c>
      <c r="E3691" s="15">
        <f>2.929-0.629-0.713-0.275-0.22</f>
        <v>1.0919999999999999</v>
      </c>
    </row>
    <row r="3692" spans="1:5" x14ac:dyDescent="0.3">
      <c r="A3692" s="8">
        <v>245</v>
      </c>
      <c r="B3692" s="8">
        <v>60</v>
      </c>
      <c r="C3692" s="8">
        <v>20</v>
      </c>
      <c r="D3692" s="8" t="s">
        <v>1</v>
      </c>
      <c r="E3692" s="9">
        <v>5</v>
      </c>
    </row>
    <row r="3693" spans="1:5" x14ac:dyDescent="0.3">
      <c r="A3693" s="10">
        <v>245</v>
      </c>
      <c r="B3693" s="10">
        <v>60</v>
      </c>
      <c r="C3693" s="10">
        <v>35</v>
      </c>
      <c r="D3693" s="10" t="s">
        <v>64</v>
      </c>
      <c r="E3693" s="15">
        <f>8.02-0.34-0.483-0.836-0.086-0.698-0.152-0.649+0.649-0.285</f>
        <v>5.14</v>
      </c>
    </row>
    <row r="3694" spans="1:5" x14ac:dyDescent="0.3">
      <c r="A3694" s="8">
        <v>245</v>
      </c>
      <c r="B3694" s="8">
        <v>60</v>
      </c>
      <c r="C3694" s="8">
        <v>45</v>
      </c>
      <c r="D3694" s="8" t="s">
        <v>1</v>
      </c>
      <c r="E3694" s="9">
        <v>5</v>
      </c>
    </row>
    <row r="3695" spans="1:5" x14ac:dyDescent="0.3">
      <c r="A3695" s="8">
        <v>245</v>
      </c>
      <c r="B3695" s="8">
        <v>60</v>
      </c>
      <c r="C3695" s="8" t="s">
        <v>28</v>
      </c>
      <c r="D3695" s="8" t="s">
        <v>1</v>
      </c>
      <c r="E3695" s="9">
        <f>10.858-0.564</f>
        <v>10.294</v>
      </c>
    </row>
    <row r="3696" spans="1:5" x14ac:dyDescent="0.3">
      <c r="A3696" s="8">
        <v>245</v>
      </c>
      <c r="B3696" s="8">
        <v>60</v>
      </c>
      <c r="C3696" s="8" t="s">
        <v>30</v>
      </c>
      <c r="D3696" s="8" t="s">
        <v>1</v>
      </c>
      <c r="E3696" s="9">
        <v>10</v>
      </c>
    </row>
    <row r="3697" spans="1:5" x14ac:dyDescent="0.3">
      <c r="A3697" s="10">
        <v>245</v>
      </c>
      <c r="B3697" s="10">
        <v>70</v>
      </c>
      <c r="C3697" s="10">
        <v>20</v>
      </c>
      <c r="D3697" s="10" t="s">
        <v>1</v>
      </c>
      <c r="E3697" s="15">
        <f>4.478-0.054-0.073-0.197</f>
        <v>4.153999999999999</v>
      </c>
    </row>
    <row r="3698" spans="1:5" x14ac:dyDescent="0.3">
      <c r="A3698" s="8">
        <v>245</v>
      </c>
      <c r="B3698" s="8">
        <v>80</v>
      </c>
      <c r="C3698" s="8">
        <v>20</v>
      </c>
      <c r="D3698" s="8" t="s">
        <v>1</v>
      </c>
      <c r="E3698" s="9">
        <v>5</v>
      </c>
    </row>
    <row r="3699" spans="1:5" x14ac:dyDescent="0.3">
      <c r="A3699" s="10">
        <v>250</v>
      </c>
      <c r="B3699" s="10">
        <v>15</v>
      </c>
      <c r="C3699" s="10" t="s">
        <v>28</v>
      </c>
      <c r="D3699" s="10" t="s">
        <v>1</v>
      </c>
      <c r="E3699" s="15">
        <f>7.396-1.841-0.182-0.182</f>
        <v>5.1909999999999989</v>
      </c>
    </row>
    <row r="3700" spans="1:5" x14ac:dyDescent="0.3">
      <c r="A3700" s="10">
        <v>250</v>
      </c>
      <c r="B3700" s="10">
        <v>16</v>
      </c>
      <c r="C3700" s="10" t="s">
        <v>123</v>
      </c>
      <c r="D3700" s="10" t="s">
        <v>1</v>
      </c>
      <c r="E3700" s="15">
        <v>0.83</v>
      </c>
    </row>
    <row r="3701" spans="1:5" x14ac:dyDescent="0.3">
      <c r="A3701" s="10">
        <v>250</v>
      </c>
      <c r="B3701" s="10">
        <v>17</v>
      </c>
      <c r="C3701" s="10" t="s">
        <v>28</v>
      </c>
      <c r="D3701" s="10" t="s">
        <v>1</v>
      </c>
      <c r="E3701" s="15">
        <f>2.654+2.522+0.638</f>
        <v>5.8140000000000001</v>
      </c>
    </row>
    <row r="3702" spans="1:5" x14ac:dyDescent="0.3">
      <c r="A3702" s="10">
        <v>250</v>
      </c>
      <c r="B3702" s="10">
        <v>17</v>
      </c>
      <c r="C3702" s="10" t="s">
        <v>28</v>
      </c>
      <c r="D3702" s="10" t="s">
        <v>1</v>
      </c>
      <c r="E3702" s="15">
        <f>7-2.654-2.522-0.638</f>
        <v>1.1860000000000004</v>
      </c>
    </row>
    <row r="3703" spans="1:5" x14ac:dyDescent="0.3">
      <c r="A3703" s="10">
        <v>250</v>
      </c>
      <c r="B3703" s="10">
        <v>20</v>
      </c>
      <c r="C3703" s="10" t="s">
        <v>28</v>
      </c>
      <c r="D3703" s="10" t="s">
        <v>1</v>
      </c>
      <c r="E3703" s="15">
        <f>0.99+2.082+11.062-0.304-1.059-0.167-2.098-0.102-0.021-0.378-1.071-1.019-0.242-0.066-0.222-0.022-0.142-1.074-0.378-0.629-0.486-0.526-0.13-1.29-0.126+0.484+1.372</f>
        <v>4.4379999999999997</v>
      </c>
    </row>
    <row r="3704" spans="1:5" x14ac:dyDescent="0.3">
      <c r="A3704" s="10">
        <v>250</v>
      </c>
      <c r="B3704" s="10">
        <v>20</v>
      </c>
      <c r="C3704" s="10" t="s">
        <v>28</v>
      </c>
      <c r="D3704" s="10" t="s">
        <v>1</v>
      </c>
      <c r="E3704" s="15">
        <v>20</v>
      </c>
    </row>
    <row r="3705" spans="1:5" x14ac:dyDescent="0.3">
      <c r="A3705" s="8">
        <v>250</v>
      </c>
      <c r="B3705" s="8">
        <v>20</v>
      </c>
      <c r="C3705" s="8" t="s">
        <v>28</v>
      </c>
      <c r="D3705" s="8" t="s">
        <v>1</v>
      </c>
      <c r="E3705" s="9">
        <f>1.481-0.419-0.484</f>
        <v>0.57800000000000007</v>
      </c>
    </row>
    <row r="3706" spans="1:5" x14ac:dyDescent="0.3">
      <c r="A3706" s="8">
        <v>250</v>
      </c>
      <c r="B3706" s="8">
        <v>20</v>
      </c>
      <c r="C3706" s="8" t="s">
        <v>28</v>
      </c>
      <c r="D3706" s="8" t="s">
        <v>1</v>
      </c>
      <c r="E3706" s="9">
        <v>10</v>
      </c>
    </row>
    <row r="3707" spans="1:5" x14ac:dyDescent="0.3">
      <c r="A3707" s="8">
        <v>254</v>
      </c>
      <c r="B3707" s="8">
        <v>20</v>
      </c>
      <c r="C3707" s="8">
        <v>20</v>
      </c>
      <c r="D3707" s="8" t="s">
        <v>1</v>
      </c>
      <c r="E3707" s="9">
        <v>5</v>
      </c>
    </row>
    <row r="3708" spans="1:5" x14ac:dyDescent="0.3">
      <c r="A3708" s="10">
        <v>254</v>
      </c>
      <c r="B3708" s="10">
        <v>20</v>
      </c>
      <c r="C3708" s="10" t="s">
        <v>26</v>
      </c>
      <c r="D3708" s="10" t="s">
        <v>1</v>
      </c>
      <c r="E3708" s="15">
        <f>2.886-0.24-0.473-0.07+1.964-0.062-1.02-0.091-0.217-0.134-0.571-0.058-0.064-0.122-0.24-0.071</f>
        <v>1.4169999999999998</v>
      </c>
    </row>
    <row r="3709" spans="1:5" x14ac:dyDescent="0.3">
      <c r="A3709" s="8">
        <v>254</v>
      </c>
      <c r="B3709" s="8">
        <v>25</v>
      </c>
      <c r="C3709" s="8">
        <v>20</v>
      </c>
      <c r="D3709" s="8" t="s">
        <v>1</v>
      </c>
      <c r="E3709" s="9">
        <v>5</v>
      </c>
    </row>
    <row r="3710" spans="1:5" x14ac:dyDescent="0.3">
      <c r="A3710" s="10">
        <v>254</v>
      </c>
      <c r="B3710" s="10">
        <v>25</v>
      </c>
      <c r="C3710" s="10" t="s">
        <v>26</v>
      </c>
      <c r="D3710" s="10" t="s">
        <v>1</v>
      </c>
      <c r="E3710" s="15">
        <f>5.952-0.196-0.436-0.15-0.185-0.15-0.15-0.22-0.456-0.315-0.433-0.149-0.065-0.562-0.339-1.026</f>
        <v>1.1199999999999994</v>
      </c>
    </row>
    <row r="3711" spans="1:5" x14ac:dyDescent="0.3">
      <c r="A3711" s="8">
        <v>254</v>
      </c>
      <c r="B3711" s="8">
        <v>30</v>
      </c>
      <c r="C3711" s="8">
        <v>20</v>
      </c>
      <c r="D3711" s="8" t="s">
        <v>1</v>
      </c>
      <c r="E3711" s="9">
        <v>5</v>
      </c>
    </row>
    <row r="3712" spans="1:5" x14ac:dyDescent="0.3">
      <c r="A3712" s="10">
        <v>254</v>
      </c>
      <c r="B3712" s="10">
        <v>30</v>
      </c>
      <c r="C3712" s="10" t="s">
        <v>26</v>
      </c>
      <c r="D3712" s="10" t="s">
        <v>1</v>
      </c>
      <c r="E3712" s="15">
        <f>5.26-0.257-0.172-0.196</f>
        <v>4.6350000000000007</v>
      </c>
    </row>
    <row r="3713" spans="1:5" x14ac:dyDescent="0.3">
      <c r="A3713" s="8">
        <v>254</v>
      </c>
      <c r="B3713" s="8">
        <v>32</v>
      </c>
      <c r="C3713" s="8">
        <v>20</v>
      </c>
      <c r="D3713" s="8" t="s">
        <v>1</v>
      </c>
      <c r="E3713" s="9">
        <v>5</v>
      </c>
    </row>
    <row r="3714" spans="1:5" x14ac:dyDescent="0.3">
      <c r="A3714" s="8">
        <v>254</v>
      </c>
      <c r="B3714" s="8">
        <v>36</v>
      </c>
      <c r="C3714" s="8">
        <v>20</v>
      </c>
      <c r="D3714" s="8" t="s">
        <v>1</v>
      </c>
      <c r="E3714" s="9">
        <v>5</v>
      </c>
    </row>
    <row r="3715" spans="1:5" x14ac:dyDescent="0.3">
      <c r="A3715" s="8">
        <v>254</v>
      </c>
      <c r="B3715" s="8">
        <v>36</v>
      </c>
      <c r="C3715" s="8" t="s">
        <v>26</v>
      </c>
      <c r="D3715" s="8" t="s">
        <v>1</v>
      </c>
      <c r="E3715" s="9">
        <f>3.926+1.9-2.028-0.201</f>
        <v>3.5970000000000004</v>
      </c>
    </row>
    <row r="3716" spans="1:5" x14ac:dyDescent="0.3">
      <c r="A3716" s="8">
        <v>254</v>
      </c>
      <c r="B3716" s="8">
        <v>40</v>
      </c>
      <c r="C3716" s="8">
        <v>20</v>
      </c>
      <c r="D3716" s="8" t="s">
        <v>1</v>
      </c>
      <c r="E3716" s="9">
        <v>5</v>
      </c>
    </row>
    <row r="3717" spans="1:5" x14ac:dyDescent="0.3">
      <c r="A3717" s="10">
        <v>254</v>
      </c>
      <c r="B3717" s="10">
        <v>40</v>
      </c>
      <c r="C3717" s="10" t="s">
        <v>26</v>
      </c>
      <c r="D3717" s="10" t="s">
        <v>1</v>
      </c>
      <c r="E3717" s="15">
        <f>5.912-3.88</f>
        <v>2.032</v>
      </c>
    </row>
    <row r="3718" spans="1:5" x14ac:dyDescent="0.3">
      <c r="A3718" s="10">
        <v>254</v>
      </c>
      <c r="B3718" s="10">
        <v>40</v>
      </c>
      <c r="C3718" s="10">
        <v>45</v>
      </c>
      <c r="D3718" s="10" t="s">
        <v>1</v>
      </c>
      <c r="E3718" s="15">
        <f>1.964-0.241-0.224-0.548</f>
        <v>0.95099999999999985</v>
      </c>
    </row>
    <row r="3719" spans="1:5" x14ac:dyDescent="0.3">
      <c r="A3719" s="8">
        <v>254</v>
      </c>
      <c r="B3719" s="8">
        <v>45</v>
      </c>
      <c r="C3719" s="8">
        <v>20</v>
      </c>
      <c r="D3719" s="8" t="s">
        <v>1</v>
      </c>
      <c r="E3719" s="9">
        <v>5</v>
      </c>
    </row>
    <row r="3720" spans="1:5" x14ac:dyDescent="0.3">
      <c r="A3720" s="8">
        <v>254</v>
      </c>
      <c r="B3720" s="8">
        <v>50</v>
      </c>
      <c r="C3720" s="8">
        <v>20</v>
      </c>
      <c r="D3720" s="8" t="s">
        <v>1</v>
      </c>
      <c r="E3720" s="9">
        <v>5</v>
      </c>
    </row>
    <row r="3721" spans="1:5" x14ac:dyDescent="0.3">
      <c r="A3721" s="10">
        <v>254</v>
      </c>
      <c r="B3721" s="10">
        <v>50</v>
      </c>
      <c r="C3721" s="10" t="s">
        <v>26</v>
      </c>
      <c r="D3721" s="10" t="s">
        <v>1</v>
      </c>
      <c r="E3721" s="15">
        <f>5.704-0.519</f>
        <v>5.1849999999999996</v>
      </c>
    </row>
    <row r="3722" spans="1:5" x14ac:dyDescent="0.3">
      <c r="A3722" s="10">
        <v>254</v>
      </c>
      <c r="B3722" s="10">
        <v>55</v>
      </c>
      <c r="C3722" s="10">
        <v>45</v>
      </c>
      <c r="D3722" s="10" t="s">
        <v>1</v>
      </c>
      <c r="E3722" s="15">
        <f>4.234+8.085-0.069-0.29-2.251</f>
        <v>9.7090000000000014</v>
      </c>
    </row>
    <row r="3723" spans="1:5" x14ac:dyDescent="0.3">
      <c r="A3723" s="8">
        <v>254</v>
      </c>
      <c r="B3723" s="8">
        <v>60</v>
      </c>
      <c r="C3723" s="8">
        <v>20</v>
      </c>
      <c r="D3723" s="8" t="s">
        <v>1</v>
      </c>
      <c r="E3723" s="9">
        <v>5</v>
      </c>
    </row>
    <row r="3724" spans="1:5" x14ac:dyDescent="0.3">
      <c r="A3724" s="10">
        <v>254</v>
      </c>
      <c r="B3724" s="10">
        <v>65</v>
      </c>
      <c r="C3724" s="10">
        <v>20</v>
      </c>
      <c r="D3724" s="10" t="s">
        <v>1</v>
      </c>
      <c r="E3724" s="15">
        <f>2.292-1.025-0.564</f>
        <v>0.70299999999999996</v>
      </c>
    </row>
    <row r="3725" spans="1:5" x14ac:dyDescent="0.3">
      <c r="A3725" s="10">
        <v>254</v>
      </c>
      <c r="B3725" s="10">
        <v>65</v>
      </c>
      <c r="C3725" s="10">
        <v>45</v>
      </c>
      <c r="D3725" s="10" t="s">
        <v>1</v>
      </c>
      <c r="E3725" s="15">
        <f>2.346-0.514</f>
        <v>1.8320000000000001</v>
      </c>
    </row>
    <row r="3726" spans="1:5" x14ac:dyDescent="0.3">
      <c r="A3726" s="8">
        <v>254</v>
      </c>
      <c r="B3726" s="8">
        <v>70</v>
      </c>
      <c r="C3726" s="8">
        <v>20</v>
      </c>
      <c r="D3726" s="8" t="s">
        <v>1</v>
      </c>
      <c r="E3726" s="9">
        <v>5</v>
      </c>
    </row>
    <row r="3727" spans="1:5" x14ac:dyDescent="0.3">
      <c r="A3727" s="10">
        <v>259</v>
      </c>
      <c r="B3727" s="10">
        <v>30</v>
      </c>
      <c r="C3727" s="10">
        <v>45</v>
      </c>
      <c r="D3727" s="10" t="s">
        <v>1</v>
      </c>
      <c r="E3727" s="15">
        <f>19.558+5.868-0.176-3.73-1.958-0.106-0.351-0.689</f>
        <v>18.416000000000004</v>
      </c>
    </row>
    <row r="3728" spans="1:5" x14ac:dyDescent="0.3">
      <c r="A3728" s="10">
        <v>259</v>
      </c>
      <c r="B3728" s="10">
        <v>40</v>
      </c>
      <c r="C3728" s="10">
        <v>20</v>
      </c>
      <c r="D3728" s="10" t="s">
        <v>1</v>
      </c>
      <c r="E3728" s="15">
        <f>6.746-0.556-1.256</f>
        <v>4.9340000000000002</v>
      </c>
    </row>
    <row r="3729" spans="1:5" x14ac:dyDescent="0.3">
      <c r="A3729" s="10">
        <v>259</v>
      </c>
      <c r="B3729" s="10">
        <v>40</v>
      </c>
      <c r="C3729" s="10">
        <v>45</v>
      </c>
      <c r="D3729" s="10" t="s">
        <v>1</v>
      </c>
      <c r="E3729" s="15">
        <f>4.502-0.105-0.142</f>
        <v>4.254999999999999</v>
      </c>
    </row>
    <row r="3730" spans="1:5" x14ac:dyDescent="0.3">
      <c r="A3730" s="10">
        <v>259</v>
      </c>
      <c r="B3730" s="10">
        <v>50</v>
      </c>
      <c r="C3730" s="10">
        <v>20</v>
      </c>
      <c r="D3730" s="10" t="s">
        <v>1</v>
      </c>
      <c r="E3730" s="15">
        <v>5.032</v>
      </c>
    </row>
    <row r="3731" spans="1:5" x14ac:dyDescent="0.3">
      <c r="A3731" s="10">
        <v>259</v>
      </c>
      <c r="B3731" s="10">
        <v>50</v>
      </c>
      <c r="C3731" s="10">
        <v>45</v>
      </c>
      <c r="D3731" s="10" t="s">
        <v>1</v>
      </c>
      <c r="E3731" s="15">
        <f>5.056-0.389-0.661</f>
        <v>4.0060000000000002</v>
      </c>
    </row>
    <row r="3732" spans="1:5" x14ac:dyDescent="0.3">
      <c r="A3732" s="24">
        <v>260</v>
      </c>
      <c r="B3732" s="24">
        <v>30</v>
      </c>
      <c r="C3732" s="24" t="s">
        <v>28</v>
      </c>
      <c r="D3732" s="24" t="s">
        <v>1</v>
      </c>
      <c r="E3732" s="25">
        <f>9.692-1.246-1.33-0.541-0.046-0.096-0.183-0.113-0.357</f>
        <v>5.7799999999999985</v>
      </c>
    </row>
    <row r="3733" spans="1:5" x14ac:dyDescent="0.3">
      <c r="A3733" s="10">
        <v>267</v>
      </c>
      <c r="B3733" s="10">
        <v>39</v>
      </c>
      <c r="C3733" s="10" t="s">
        <v>28</v>
      </c>
      <c r="D3733" s="10" t="s">
        <v>1</v>
      </c>
      <c r="E3733" s="15">
        <f>4.765-0.482</f>
        <v>4.2829999999999995</v>
      </c>
    </row>
    <row r="3734" spans="1:5" x14ac:dyDescent="0.3">
      <c r="A3734" s="10">
        <v>273</v>
      </c>
      <c r="B3734" s="10">
        <v>4</v>
      </c>
      <c r="C3734" s="10" t="s">
        <v>26</v>
      </c>
      <c r="D3734" s="10" t="s">
        <v>7</v>
      </c>
      <c r="E3734" s="15">
        <f>0.636+0.954-0.03-0.057-0.141-0.085-0.115-0.057-0.024</f>
        <v>1.081</v>
      </c>
    </row>
    <row r="3735" spans="1:5" x14ac:dyDescent="0.3">
      <c r="A3735" s="10">
        <v>273</v>
      </c>
      <c r="B3735" s="10">
        <v>5</v>
      </c>
      <c r="C3735" s="10" t="s">
        <v>34</v>
      </c>
      <c r="D3735" s="10" t="s">
        <v>7</v>
      </c>
      <c r="E3735" s="15">
        <f>1.021-0.375-0.024-0.046-0.034</f>
        <v>0.54199999999999982</v>
      </c>
    </row>
    <row r="3736" spans="1:5" x14ac:dyDescent="0.3">
      <c r="A3736" s="10">
        <v>273</v>
      </c>
      <c r="B3736" s="10">
        <v>5</v>
      </c>
      <c r="C3736" s="10">
        <v>20</v>
      </c>
      <c r="D3736" s="10" t="s">
        <v>7</v>
      </c>
      <c r="E3736" s="15">
        <f>0.352+0.955-0.201-0.138-0.102+0.393-0.016-0.104-0.046+0.588-0.012-0.052-0.05-0.069-0.136-0.052-0.069-0.036-0.102-0.029-0.124-0.036-0.14-0.069-0.049-0.036-0.024-0.024-0.017-0.049-0.026-0.052-0.006-0.019-0.029-0.018-0.039-0.006</f>
        <v>0.31099999999999939</v>
      </c>
    </row>
    <row r="3737" spans="1:5" x14ac:dyDescent="0.3">
      <c r="A3737" s="10">
        <v>273</v>
      </c>
      <c r="B3737" s="10">
        <v>5</v>
      </c>
      <c r="C3737" s="10">
        <v>20</v>
      </c>
      <c r="D3737" s="10" t="s">
        <v>7</v>
      </c>
      <c r="E3737" s="15">
        <f>2.14-0.136-0.261-0.138-0.244-0.085-0.022-0.056</f>
        <v>1.198</v>
      </c>
    </row>
    <row r="3738" spans="1:5" x14ac:dyDescent="0.3">
      <c r="A3738" s="10">
        <v>273</v>
      </c>
      <c r="B3738" s="10">
        <v>5</v>
      </c>
      <c r="C3738" s="10" t="s">
        <v>26</v>
      </c>
      <c r="D3738" s="10" t="s">
        <v>7</v>
      </c>
      <c r="E3738" s="15">
        <f>0.454-0.068-0.07-0.008-0.102-0.203+0.014+0.397</f>
        <v>0.41400000000000003</v>
      </c>
    </row>
    <row r="3739" spans="1:5" x14ac:dyDescent="0.3">
      <c r="A3739" s="10">
        <v>273</v>
      </c>
      <c r="B3739" s="10">
        <v>6</v>
      </c>
      <c r="C3739" s="10" t="s">
        <v>34</v>
      </c>
      <c r="D3739" s="10" t="s">
        <v>7</v>
      </c>
      <c r="E3739" s="15">
        <f>0.02+0.009+0.009-0.01-0.021</f>
        <v>6.9999999999999958E-3</v>
      </c>
    </row>
    <row r="3740" spans="1:5" x14ac:dyDescent="0.3">
      <c r="A3740" s="10">
        <v>273</v>
      </c>
      <c r="B3740" s="10">
        <v>6</v>
      </c>
      <c r="C3740" s="10">
        <v>20</v>
      </c>
      <c r="D3740" s="10" t="s">
        <v>7</v>
      </c>
      <c r="E3740" s="15">
        <f>1.204-0.121-0.182-0.042-0.816-0.03</f>
        <v>1.3000000000000039E-2</v>
      </c>
    </row>
    <row r="3741" spans="1:5" x14ac:dyDescent="0.3">
      <c r="A3741" s="10">
        <v>273</v>
      </c>
      <c r="B3741" s="10">
        <v>6</v>
      </c>
      <c r="C3741" s="10">
        <v>20</v>
      </c>
      <c r="D3741" s="10" t="s">
        <v>7</v>
      </c>
      <c r="E3741" s="15">
        <f>0.816-0.042-0.123-0.444-0.042+0.45-0.062-0.104-0.042-0.107+2.29-0.222-0.011-0.242-0.095-0.087-0.02-0.123-0.061-0.043-0.058-0.009-0.062-0.363-0.082-0.083-0.396-0.084-0.099-0.034+0.932-0.043+0.237+0.237+0.247-0.123-0.033-0.951-0.051-0.051</f>
        <v>0.81699999999999984</v>
      </c>
    </row>
    <row r="3742" spans="1:5" x14ac:dyDescent="0.3">
      <c r="A3742" s="10">
        <v>273</v>
      </c>
      <c r="B3742" s="10">
        <v>6</v>
      </c>
      <c r="C3742" s="10" t="s">
        <v>26</v>
      </c>
      <c r="D3742" s="10" t="s">
        <v>115</v>
      </c>
      <c r="E3742" s="15">
        <f>2.624-0.062-0.122-0.042-0.082-0.098-0.042-0.48-0.122-0.042-0.062-0.153-0.833+0.379-0.014-0.161</f>
        <v>0.68800000000000106</v>
      </c>
    </row>
    <row r="3743" spans="1:5" x14ac:dyDescent="0.3">
      <c r="A3743" s="10">
        <v>273</v>
      </c>
      <c r="B3743" s="10">
        <v>6</v>
      </c>
      <c r="C3743" s="10" t="s">
        <v>26</v>
      </c>
      <c r="D3743" s="10" t="s">
        <v>7</v>
      </c>
      <c r="E3743" s="15">
        <f>0.363+0.636-0.082-0.368-0.282-0.027-0.142+0.367+0.53-0.075-0.026-0.082-0.082-0.042-0.122-0.038-0.022-0.026+0.237+0.237-0.115-0.048</f>
        <v>0.79100000000000004</v>
      </c>
    </row>
    <row r="3744" spans="1:5" x14ac:dyDescent="0.3">
      <c r="A3744" s="10">
        <v>273</v>
      </c>
      <c r="B3744" s="10">
        <v>7</v>
      </c>
      <c r="C3744" s="10">
        <v>20</v>
      </c>
      <c r="D3744" s="10" t="s">
        <v>7</v>
      </c>
      <c r="E3744" s="15">
        <f>1.214-0.104-0.304-0.028-0.104-0.038-0.028-0.013-0.023-0.305-0.271+0.013+0.533</f>
        <v>0.5419999999999997</v>
      </c>
    </row>
    <row r="3745" spans="1:5" x14ac:dyDescent="0.3">
      <c r="A3745" s="10">
        <v>273</v>
      </c>
      <c r="B3745" s="10">
        <v>7</v>
      </c>
      <c r="C3745" s="10" t="s">
        <v>102</v>
      </c>
      <c r="D3745" s="10" t="s">
        <v>103</v>
      </c>
      <c r="E3745" s="15">
        <f>0.562+1.104</f>
        <v>1.6660000000000001</v>
      </c>
    </row>
    <row r="3746" spans="1:5" x14ac:dyDescent="0.3">
      <c r="A3746" s="10">
        <v>273</v>
      </c>
      <c r="B3746" s="10">
        <v>7</v>
      </c>
      <c r="C3746" s="10" t="s">
        <v>26</v>
      </c>
      <c r="D3746" s="10" t="s">
        <v>7</v>
      </c>
      <c r="E3746" s="15">
        <f>0.514-0.284-0.009+0.482-0.026-0.283-0.08-0.211-0.049+0.873+0.946-0.069-0.2-0.025-0.013</f>
        <v>1.5660000000000003</v>
      </c>
    </row>
    <row r="3747" spans="1:5" x14ac:dyDescent="0.3">
      <c r="A3747" s="10">
        <v>273</v>
      </c>
      <c r="B3747" s="10">
        <v>7</v>
      </c>
      <c r="C3747" s="10" t="s">
        <v>26</v>
      </c>
      <c r="D3747" s="10" t="s">
        <v>64</v>
      </c>
      <c r="E3747" s="15">
        <f>20.319-0.548-0.073-0.341-0.013-0.447-0.529-0.026-0.061-0.664-0.078-0.191-0.168-0.067-0.549-0.026-0.097-1.567+0.522-0.373-0.17-0.051-0.026-0.573-0.041-0.236-0.065-0.04-0.29-0.051-0.258-0.075-0.194-0.445-0.017-0.557-0.051-0.242-0.147-0.108-0.098-0.098-0.193-0.097-0.052-0.523-0.076-0.182-0.194-0.398-0.098-0.146-0.027-0.053-0.012-0.01-0.32</f>
        <v>8.8089999999999975</v>
      </c>
    </row>
    <row r="3748" spans="1:5" x14ac:dyDescent="0.3">
      <c r="A3748" s="10">
        <v>273</v>
      </c>
      <c r="B3748" s="10">
        <v>8</v>
      </c>
      <c r="C3748" s="10">
        <v>20</v>
      </c>
      <c r="D3748" s="10" t="s">
        <v>7</v>
      </c>
      <c r="E3748" s="15">
        <f>1.544-0.515-0.108+0.444-0.03-0.162-0.217-0.056-0.134-0.024-0.022-0.055-0.114-0.045-0.033-0.066-0.036-0.135-0.232+0.02</f>
        <v>2.3999999999999865E-2</v>
      </c>
    </row>
    <row r="3749" spans="1:5" x14ac:dyDescent="0.3">
      <c r="A3749" s="10">
        <v>273</v>
      </c>
      <c r="B3749" s="10">
        <v>8</v>
      </c>
      <c r="C3749" s="10">
        <v>20</v>
      </c>
      <c r="D3749" s="10" t="s">
        <v>1</v>
      </c>
      <c r="E3749" s="15">
        <f>0.763-0.147-0.014-0.187-0.109-0.015-0.291+0.01+0.424-0.113-0.058-0.171-0.084+0.195-0.192+3.067+0.4+3.203-0.059+2.841-0.098</f>
        <v>9.3650000000000002</v>
      </c>
    </row>
    <row r="3750" spans="1:5" x14ac:dyDescent="0.3">
      <c r="A3750" s="10">
        <v>273</v>
      </c>
      <c r="B3750" s="10">
        <v>8</v>
      </c>
      <c r="C3750" s="10" t="s">
        <v>39</v>
      </c>
      <c r="D3750" s="10" t="s">
        <v>7</v>
      </c>
      <c r="E3750" s="15">
        <v>0.55900000000000005</v>
      </c>
    </row>
    <row r="3751" spans="1:5" x14ac:dyDescent="0.3">
      <c r="A3751" s="10">
        <v>273</v>
      </c>
      <c r="B3751" s="10">
        <v>8</v>
      </c>
      <c r="C3751" s="10" t="s">
        <v>102</v>
      </c>
      <c r="D3751" s="10" t="s">
        <v>7</v>
      </c>
      <c r="E3751" s="15">
        <f>0.392+0.327+0.353+0.784</f>
        <v>1.8560000000000001</v>
      </c>
    </row>
    <row r="3752" spans="1:5" x14ac:dyDescent="0.3">
      <c r="A3752" s="10">
        <v>273</v>
      </c>
      <c r="B3752" s="10">
        <v>8</v>
      </c>
      <c r="C3752" s="10" t="s">
        <v>26</v>
      </c>
      <c r="D3752" s="10" t="s">
        <v>7</v>
      </c>
      <c r="E3752" s="15">
        <f>0.399-0.061-0.188+1.04-0.151-0.109+0.002+0.418-0.947-0.088-0.215-0.061+1.58-0.04-0.082-0.196-0.009-0.132-0.109-0.162-0.109-0.056-0.082-0.105+0.065+1.254-0.108-0.036-0.7</f>
        <v>1.012</v>
      </c>
    </row>
    <row r="3753" spans="1:5" x14ac:dyDescent="0.3">
      <c r="A3753" s="8">
        <v>273</v>
      </c>
      <c r="B3753" s="8">
        <v>8</v>
      </c>
      <c r="C3753" s="8" t="s">
        <v>26</v>
      </c>
      <c r="D3753" s="8" t="s">
        <v>1</v>
      </c>
      <c r="E3753" s="9">
        <f>0.588-0.181-0.015-0.135-0.127-0.041-0.064-0.017+0.018</f>
        <v>2.5999999999999936E-2</v>
      </c>
    </row>
    <row r="3754" spans="1:5" x14ac:dyDescent="0.3">
      <c r="A3754" s="10">
        <v>273</v>
      </c>
      <c r="B3754" s="10">
        <v>8</v>
      </c>
      <c r="C3754" s="10" t="s">
        <v>26</v>
      </c>
      <c r="D3754" s="10" t="s">
        <v>1</v>
      </c>
      <c r="E3754" s="15">
        <f>4.859-0.266-0.27+0.464+1.43+2.167+0.519+0.558+1.138-0.074+0.506-0.045</f>
        <v>10.986000000000001</v>
      </c>
    </row>
    <row r="3755" spans="1:5" x14ac:dyDescent="0.3">
      <c r="A3755" s="10">
        <v>273</v>
      </c>
      <c r="B3755" s="10">
        <v>8</v>
      </c>
      <c r="C3755" s="10" t="s">
        <v>52</v>
      </c>
      <c r="D3755" s="10" t="s">
        <v>7</v>
      </c>
      <c r="E3755" s="15">
        <v>0.44400000000000001</v>
      </c>
    </row>
    <row r="3756" spans="1:5" x14ac:dyDescent="0.3">
      <c r="A3756" s="10">
        <v>273</v>
      </c>
      <c r="B3756" s="10">
        <v>8</v>
      </c>
      <c r="C3756" s="10" t="s">
        <v>48</v>
      </c>
      <c r="D3756" s="10" t="s">
        <v>7</v>
      </c>
      <c r="E3756" s="15">
        <f>0.941-0.267-0.056</f>
        <v>0.61799999999999988</v>
      </c>
    </row>
    <row r="3757" spans="1:5" x14ac:dyDescent="0.3">
      <c r="A3757" s="10">
        <v>273</v>
      </c>
      <c r="B3757" s="10">
        <v>8</v>
      </c>
      <c r="C3757" s="10" t="s">
        <v>37</v>
      </c>
      <c r="D3757" s="10" t="s">
        <v>1</v>
      </c>
      <c r="E3757" s="15">
        <v>0.83</v>
      </c>
    </row>
    <row r="3758" spans="1:5" x14ac:dyDescent="0.3">
      <c r="A3758" s="10">
        <v>273</v>
      </c>
      <c r="B3758" s="10">
        <v>8</v>
      </c>
      <c r="C3758" s="10" t="s">
        <v>29</v>
      </c>
      <c r="D3758" s="10" t="s">
        <v>3</v>
      </c>
      <c r="E3758" s="15">
        <f>5.271-0.024-0.285</f>
        <v>4.9619999999999997</v>
      </c>
    </row>
    <row r="3759" spans="1:5" x14ac:dyDescent="0.3">
      <c r="A3759" s="10">
        <v>273</v>
      </c>
      <c r="B3759" s="10">
        <v>9</v>
      </c>
      <c r="C3759" s="8">
        <v>20</v>
      </c>
      <c r="D3759" s="8" t="s">
        <v>7</v>
      </c>
      <c r="E3759" s="15">
        <f>4.026-0.063-0.711</f>
        <v>3.2519999999999998</v>
      </c>
    </row>
    <row r="3760" spans="1:5" x14ac:dyDescent="0.3">
      <c r="A3760" s="8">
        <v>273</v>
      </c>
      <c r="B3760" s="8">
        <v>9</v>
      </c>
      <c r="C3760" s="8">
        <v>20</v>
      </c>
      <c r="D3760" s="8" t="s">
        <v>1</v>
      </c>
      <c r="E3760" s="9">
        <f>0.548+1.092+1.902-0.024-0.116-0.428-0.067-0.358-0.033-0.032-0.033-0.092-0.122-0.371-0.037-0.123-0.133+0.519+1.944+1.029+1.854+2.962+0.56-0.21+2.183</f>
        <v>12.414</v>
      </c>
    </row>
    <row r="3761" spans="1:5" x14ac:dyDescent="0.3">
      <c r="A3761" s="10">
        <v>273</v>
      </c>
      <c r="B3761" s="10">
        <v>9</v>
      </c>
      <c r="C3761" s="10">
        <v>20</v>
      </c>
      <c r="D3761" s="10" t="s">
        <v>64</v>
      </c>
      <c r="E3761" s="15">
        <f>2.022-0.242-0.302-0.15-0.087-0.242-0.181-0.068-0.104</f>
        <v>0.6459999999999998</v>
      </c>
    </row>
    <row r="3762" spans="1:5" x14ac:dyDescent="0.3">
      <c r="A3762" s="10">
        <v>273</v>
      </c>
      <c r="B3762" s="10">
        <v>9</v>
      </c>
      <c r="C3762" s="10" t="s">
        <v>26</v>
      </c>
      <c r="D3762" s="10" t="s">
        <v>7</v>
      </c>
      <c r="E3762" s="15">
        <f>0.621+0.366</f>
        <v>0.98699999999999999</v>
      </c>
    </row>
    <row r="3763" spans="1:5" x14ac:dyDescent="0.3">
      <c r="A3763" s="10">
        <v>273</v>
      </c>
      <c r="B3763" s="10">
        <v>9</v>
      </c>
      <c r="C3763" s="10" t="s">
        <v>26</v>
      </c>
      <c r="D3763" s="10" t="s">
        <v>1</v>
      </c>
      <c r="E3763" s="15">
        <f>0.365+0.451+0.43</f>
        <v>1.246</v>
      </c>
    </row>
    <row r="3764" spans="1:5" x14ac:dyDescent="0.3">
      <c r="A3764" s="10">
        <v>273</v>
      </c>
      <c r="B3764" s="10">
        <v>9</v>
      </c>
      <c r="C3764" s="10" t="s">
        <v>37</v>
      </c>
      <c r="D3764" s="10" t="s">
        <v>1</v>
      </c>
      <c r="E3764" s="15">
        <f>0.891+0.613</f>
        <v>1.504</v>
      </c>
    </row>
    <row r="3765" spans="1:5" x14ac:dyDescent="0.3">
      <c r="A3765" s="8">
        <v>273</v>
      </c>
      <c r="B3765" s="8">
        <v>9</v>
      </c>
      <c r="C3765" s="8" t="s">
        <v>37</v>
      </c>
      <c r="D3765" s="8" t="s">
        <v>1</v>
      </c>
      <c r="E3765" s="9">
        <f>2.11-0.891-0.613</f>
        <v>0.60599999999999987</v>
      </c>
    </row>
    <row r="3766" spans="1:5" x14ac:dyDescent="0.3">
      <c r="A3766" s="8">
        <v>273</v>
      </c>
      <c r="B3766" s="8">
        <v>10</v>
      </c>
      <c r="C3766" s="8">
        <v>20</v>
      </c>
      <c r="D3766" s="8" t="s">
        <v>7</v>
      </c>
      <c r="E3766" s="15">
        <f>0.707+0.778+0.422</f>
        <v>1.9069999999999998</v>
      </c>
    </row>
    <row r="3767" spans="1:5" x14ac:dyDescent="0.3">
      <c r="A3767" s="8">
        <v>273</v>
      </c>
      <c r="B3767" s="8">
        <v>10</v>
      </c>
      <c r="C3767" s="8">
        <v>20</v>
      </c>
      <c r="D3767" s="8" t="s">
        <v>1</v>
      </c>
      <c r="E3767" s="9">
        <f>1.506-0.037-0.07-0.036-0.139-0.471-0.021-0.173-0.343+0.536-0.025-0.28</f>
        <v>0.44699999999999995</v>
      </c>
    </row>
    <row r="3768" spans="1:5" x14ac:dyDescent="0.3">
      <c r="A3768" s="8">
        <v>273</v>
      </c>
      <c r="B3768" s="8">
        <v>10</v>
      </c>
      <c r="C3768" s="8">
        <v>20</v>
      </c>
      <c r="D3768" s="8" t="s">
        <v>1</v>
      </c>
      <c r="E3768" s="9">
        <v>5</v>
      </c>
    </row>
    <row r="3769" spans="1:5" x14ac:dyDescent="0.3">
      <c r="A3769" s="8">
        <v>273</v>
      </c>
      <c r="B3769" s="8">
        <v>10</v>
      </c>
      <c r="C3769" s="8">
        <v>20</v>
      </c>
      <c r="D3769" s="8" t="s">
        <v>32</v>
      </c>
      <c r="E3769" s="9">
        <v>0.375</v>
      </c>
    </row>
    <row r="3770" spans="1:5" x14ac:dyDescent="0.3">
      <c r="A3770" s="8">
        <v>273</v>
      </c>
      <c r="B3770" s="8">
        <v>10</v>
      </c>
      <c r="C3770" s="8">
        <v>20</v>
      </c>
      <c r="D3770" s="8" t="s">
        <v>32</v>
      </c>
      <c r="E3770" s="9">
        <v>5</v>
      </c>
    </row>
    <row r="3771" spans="1:5" x14ac:dyDescent="0.3">
      <c r="A3771" s="10">
        <v>273</v>
      </c>
      <c r="B3771" s="10">
        <v>10</v>
      </c>
      <c r="C3771" s="10" t="s">
        <v>26</v>
      </c>
      <c r="D3771" s="10" t="s">
        <v>7</v>
      </c>
      <c r="E3771" s="15">
        <f>2.334-0.264-0.168-0.069-0.29-0.279</f>
        <v>1.2640000000000002</v>
      </c>
    </row>
    <row r="3772" spans="1:5" x14ac:dyDescent="0.3">
      <c r="A3772" s="10">
        <v>273</v>
      </c>
      <c r="B3772" s="10">
        <v>10</v>
      </c>
      <c r="C3772" s="10" t="s">
        <v>26</v>
      </c>
      <c r="D3772" s="10" t="s">
        <v>1</v>
      </c>
      <c r="E3772" s="15">
        <f>0.353-0.136-0.024+0.858-0.473-0.196-0.099-0.071+5.467+0.042+0.026-0.238-0.811-0.026-0.278-1.592-0.181-0.083-0.221-0.017-0.052-0.271-0.071-0.078-0.201-0.116-0.042-0.02-0.016-0.218-0.043-0.07-0.041-0.24-0.138-0.659-0.035+0.105</f>
        <v>9.3999999999997905E-2</v>
      </c>
    </row>
    <row r="3773" spans="1:5" x14ac:dyDescent="0.3">
      <c r="A3773" s="10">
        <v>273</v>
      </c>
      <c r="B3773" s="10">
        <v>10</v>
      </c>
      <c r="C3773" s="10" t="s">
        <v>26</v>
      </c>
      <c r="D3773" s="10" t="s">
        <v>64</v>
      </c>
      <c r="E3773" s="15">
        <f>7.248-0.04-0.071-0.069-0.324-0.306-0.211-0.137+5.165-0.047-0.018-0.025-0.071-0.1-0.027-0.078-0.023-0.016-0.015-0.037-0.037-0.057-0.037-0.751-0.124-0.751-0.205-0.082-0.071-0.071-0.023-0.7-0.069-0.069-0.023-0.082-0.037</f>
        <v>7.6089999999999973</v>
      </c>
    </row>
    <row r="3774" spans="1:5" x14ac:dyDescent="0.3">
      <c r="A3774" s="10">
        <v>273</v>
      </c>
      <c r="B3774" s="10">
        <v>10</v>
      </c>
      <c r="C3774" s="10" t="s">
        <v>112</v>
      </c>
      <c r="D3774" s="10" t="s">
        <v>1</v>
      </c>
      <c r="E3774" s="15">
        <f>1.579-0.103-0.07-0.07-0.036-0.033-0.043-0.168-0.147-0.128</f>
        <v>0.78100000000000003</v>
      </c>
    </row>
    <row r="3775" spans="1:5" x14ac:dyDescent="0.3">
      <c r="A3775" s="8">
        <v>273</v>
      </c>
      <c r="B3775" s="8">
        <v>10</v>
      </c>
      <c r="C3775" s="8" t="s">
        <v>31</v>
      </c>
      <c r="D3775" s="8" t="s">
        <v>32</v>
      </c>
      <c r="E3775" s="9">
        <v>5</v>
      </c>
    </row>
    <row r="3776" spans="1:5" x14ac:dyDescent="0.3">
      <c r="A3776" s="8">
        <v>273</v>
      </c>
      <c r="B3776" s="8">
        <v>10</v>
      </c>
      <c r="C3776" s="8" t="s">
        <v>29</v>
      </c>
      <c r="D3776" s="8" t="s">
        <v>3</v>
      </c>
      <c r="E3776" s="9">
        <f>1.08+0.527-0.043-0.177-0.539-0.104-0.542</f>
        <v>0.20200000000000018</v>
      </c>
    </row>
    <row r="3777" spans="1:5" x14ac:dyDescent="0.3">
      <c r="A3777" s="10">
        <v>273</v>
      </c>
      <c r="B3777" s="10">
        <v>11</v>
      </c>
      <c r="C3777" s="10" t="s">
        <v>111</v>
      </c>
      <c r="D3777" s="10" t="s">
        <v>7</v>
      </c>
      <c r="E3777" s="15">
        <v>0.94099999999999995</v>
      </c>
    </row>
    <row r="3778" spans="1:5" x14ac:dyDescent="0.3">
      <c r="A3778" s="8">
        <v>273</v>
      </c>
      <c r="B3778" s="8">
        <v>11</v>
      </c>
      <c r="C3778" s="8">
        <v>20</v>
      </c>
      <c r="D3778" s="8" t="s">
        <v>32</v>
      </c>
      <c r="E3778" s="9">
        <f>1.194-0.603</f>
        <v>0.59099999999999997</v>
      </c>
    </row>
    <row r="3779" spans="1:5" x14ac:dyDescent="0.3">
      <c r="A3779" s="8">
        <v>273</v>
      </c>
      <c r="B3779" s="8">
        <v>12</v>
      </c>
      <c r="C3779" s="8">
        <v>20</v>
      </c>
      <c r="D3779" s="8" t="s">
        <v>1</v>
      </c>
      <c r="E3779" s="9">
        <v>5</v>
      </c>
    </row>
    <row r="3780" spans="1:5" x14ac:dyDescent="0.3">
      <c r="A3780" s="8">
        <v>273</v>
      </c>
      <c r="B3780" s="8">
        <v>12</v>
      </c>
      <c r="C3780" s="8">
        <v>20</v>
      </c>
      <c r="D3780" s="8" t="s">
        <v>32</v>
      </c>
      <c r="E3780" s="9">
        <f>1.022-0.088-0.047</f>
        <v>0.88700000000000001</v>
      </c>
    </row>
    <row r="3781" spans="1:5" x14ac:dyDescent="0.3">
      <c r="A3781" s="10">
        <v>273</v>
      </c>
      <c r="B3781" s="10">
        <v>12</v>
      </c>
      <c r="C3781" s="10">
        <v>20</v>
      </c>
      <c r="D3781" s="10" t="s">
        <v>32</v>
      </c>
      <c r="E3781" s="15">
        <f>0.866+0.454</f>
        <v>1.32</v>
      </c>
    </row>
    <row r="3782" spans="1:5" x14ac:dyDescent="0.3">
      <c r="A3782" s="8">
        <v>273</v>
      </c>
      <c r="B3782" s="8">
        <v>12</v>
      </c>
      <c r="C3782" s="8">
        <v>20</v>
      </c>
      <c r="D3782" s="8" t="s">
        <v>32</v>
      </c>
      <c r="E3782" s="9">
        <f>8.393-0.866-0.454</f>
        <v>7.0730000000000013</v>
      </c>
    </row>
    <row r="3783" spans="1:5" x14ac:dyDescent="0.3">
      <c r="A3783" s="10">
        <v>273</v>
      </c>
      <c r="B3783" s="10">
        <v>12</v>
      </c>
      <c r="C3783" s="10" t="s">
        <v>26</v>
      </c>
      <c r="D3783" s="10" t="s">
        <v>1</v>
      </c>
      <c r="E3783" s="15">
        <f>1.053-0.021-0.124-0.163-0.178-0.095-0.149-0.068-0.155-0.075-0.002</f>
        <v>2.2999999999999951E-2</v>
      </c>
    </row>
    <row r="3784" spans="1:5" x14ac:dyDescent="0.3">
      <c r="A3784" s="10">
        <v>273</v>
      </c>
      <c r="B3784" s="10">
        <v>12</v>
      </c>
      <c r="C3784" s="10" t="s">
        <v>26</v>
      </c>
      <c r="D3784" s="10" t="s">
        <v>1</v>
      </c>
      <c r="E3784" s="15">
        <f>0.197-0.06-0.039+0.765-0.042</f>
        <v>0.82099999999999995</v>
      </c>
    </row>
    <row r="3785" spans="1:5" x14ac:dyDescent="0.3">
      <c r="A3785" s="10">
        <v>273</v>
      </c>
      <c r="B3785" s="10">
        <v>12</v>
      </c>
      <c r="C3785" s="10" t="s">
        <v>26</v>
      </c>
      <c r="D3785" s="10" t="s">
        <v>64</v>
      </c>
      <c r="E3785" s="15">
        <f>7.296-0.952-0.204-0.02-0.483-0.043-0.06-0.021-0.446-0.243-0.159-0.204-0.101-0.705-0.204-0.244-0.241-0.037-0.084-0.144-0.045-0.142-0.132-0.106-0.084-0.162</f>
        <v>2.0300000000000016</v>
      </c>
    </row>
    <row r="3786" spans="1:5" x14ac:dyDescent="0.3">
      <c r="A3786" s="8">
        <v>273</v>
      </c>
      <c r="B3786" s="8">
        <v>12</v>
      </c>
      <c r="C3786" s="8" t="s">
        <v>26</v>
      </c>
      <c r="D3786" s="8" t="s">
        <v>64</v>
      </c>
      <c r="E3786" s="9">
        <v>5</v>
      </c>
    </row>
    <row r="3787" spans="1:5" x14ac:dyDescent="0.3">
      <c r="A3787" s="10">
        <v>273</v>
      </c>
      <c r="B3787" s="10">
        <v>12</v>
      </c>
      <c r="C3787" s="10" t="s">
        <v>169</v>
      </c>
      <c r="D3787" s="10" t="s">
        <v>179</v>
      </c>
      <c r="E3787" s="15">
        <v>0.59899999999999998</v>
      </c>
    </row>
    <row r="3788" spans="1:5" x14ac:dyDescent="0.3">
      <c r="A3788" s="8">
        <v>273</v>
      </c>
      <c r="B3788" s="8">
        <v>12</v>
      </c>
      <c r="C3788" s="10" t="s">
        <v>139</v>
      </c>
      <c r="D3788" s="10" t="s">
        <v>114</v>
      </c>
      <c r="E3788" s="9">
        <f>1.895-0.039</f>
        <v>1.8560000000000001</v>
      </c>
    </row>
    <row r="3789" spans="1:5" x14ac:dyDescent="0.3">
      <c r="A3789" s="10">
        <v>273</v>
      </c>
      <c r="B3789" s="10">
        <v>12</v>
      </c>
      <c r="C3789" s="10" t="s">
        <v>43</v>
      </c>
      <c r="D3789" s="10" t="s">
        <v>1</v>
      </c>
      <c r="E3789" s="15">
        <v>0.57999999999999996</v>
      </c>
    </row>
    <row r="3790" spans="1:5" x14ac:dyDescent="0.3">
      <c r="A3790" s="10">
        <v>273</v>
      </c>
      <c r="B3790" s="10">
        <v>12</v>
      </c>
      <c r="C3790" s="10" t="s">
        <v>28</v>
      </c>
      <c r="D3790" s="10" t="s">
        <v>1</v>
      </c>
      <c r="E3790" s="15">
        <f>8.505-0.083</f>
        <v>8.4220000000000006</v>
      </c>
    </row>
    <row r="3791" spans="1:5" x14ac:dyDescent="0.3">
      <c r="A3791" s="8">
        <v>273</v>
      </c>
      <c r="B3791" s="8">
        <v>12</v>
      </c>
      <c r="C3791" s="8" t="s">
        <v>31</v>
      </c>
      <c r="D3791" s="8" t="s">
        <v>32</v>
      </c>
      <c r="E3791" s="9">
        <f>3.654+4.899+1.67-1.67+3.605-3.605-0.923-0.096-1.493-0.012-0.849-0.044</f>
        <v>5.136000000000001</v>
      </c>
    </row>
    <row r="3792" spans="1:5" x14ac:dyDescent="0.3">
      <c r="A3792" s="8">
        <v>273</v>
      </c>
      <c r="B3792" s="8">
        <v>12</v>
      </c>
      <c r="C3792" s="8" t="s">
        <v>31</v>
      </c>
      <c r="D3792" s="8" t="s">
        <v>32</v>
      </c>
      <c r="E3792" s="9">
        <f>3.125+1.67+0.915+3.605-0.902-0.946-1.857-2.075</f>
        <v>3.5350000000000001</v>
      </c>
    </row>
    <row r="3793" spans="1:5" x14ac:dyDescent="0.3">
      <c r="A3793" s="10">
        <v>273</v>
      </c>
      <c r="B3793" s="10">
        <v>12</v>
      </c>
      <c r="C3793" s="10" t="s">
        <v>29</v>
      </c>
      <c r="D3793" s="10" t="s">
        <v>3</v>
      </c>
      <c r="E3793" s="15">
        <f>5.027-0.075-0.107</f>
        <v>4.8449999999999998</v>
      </c>
    </row>
    <row r="3794" spans="1:5" x14ac:dyDescent="0.3">
      <c r="A3794" s="10">
        <v>273</v>
      </c>
      <c r="B3794" s="10">
        <v>13</v>
      </c>
      <c r="C3794" s="10" t="s">
        <v>37</v>
      </c>
      <c r="D3794" s="10" t="s">
        <v>180</v>
      </c>
      <c r="E3794" s="15">
        <v>1.968</v>
      </c>
    </row>
    <row r="3795" spans="1:5" x14ac:dyDescent="0.3">
      <c r="A3795" s="10">
        <v>273</v>
      </c>
      <c r="B3795" s="10">
        <v>14</v>
      </c>
      <c r="C3795" s="10">
        <v>20</v>
      </c>
      <c r="D3795" s="10" t="s">
        <v>1</v>
      </c>
      <c r="E3795" s="15">
        <f>2.431+0.779</f>
        <v>3.21</v>
      </c>
    </row>
    <row r="3796" spans="1:5" x14ac:dyDescent="0.3">
      <c r="A3796" s="8">
        <v>273</v>
      </c>
      <c r="B3796" s="8">
        <v>14</v>
      </c>
      <c r="C3796" s="8">
        <v>20</v>
      </c>
      <c r="D3796" s="8" t="s">
        <v>1</v>
      </c>
      <c r="E3796" s="9">
        <f>5.347-2.431-0.779</f>
        <v>2.1370000000000005</v>
      </c>
    </row>
    <row r="3797" spans="1:5" x14ac:dyDescent="0.3">
      <c r="A3797" s="8">
        <v>273</v>
      </c>
      <c r="B3797" s="8">
        <v>14</v>
      </c>
      <c r="C3797" s="8">
        <v>20</v>
      </c>
      <c r="D3797" s="8" t="s">
        <v>1</v>
      </c>
      <c r="E3797" s="9">
        <v>5</v>
      </c>
    </row>
    <row r="3798" spans="1:5" x14ac:dyDescent="0.3">
      <c r="A3798" s="10">
        <v>273</v>
      </c>
      <c r="B3798" s="10">
        <v>14</v>
      </c>
      <c r="C3798" s="10">
        <v>20</v>
      </c>
      <c r="D3798" s="10" t="s">
        <v>32</v>
      </c>
      <c r="E3798" s="9">
        <f>0.961-0.155</f>
        <v>0.80599999999999994</v>
      </c>
    </row>
    <row r="3799" spans="1:5" x14ac:dyDescent="0.3">
      <c r="A3799" s="8">
        <v>273</v>
      </c>
      <c r="B3799" s="8">
        <v>14</v>
      </c>
      <c r="C3799" s="8">
        <v>20</v>
      </c>
      <c r="D3799" s="8" t="s">
        <v>32</v>
      </c>
      <c r="E3799" s="9">
        <v>0.502</v>
      </c>
    </row>
    <row r="3800" spans="1:5" x14ac:dyDescent="0.3">
      <c r="A3800" s="10">
        <v>273</v>
      </c>
      <c r="B3800" s="10">
        <v>14</v>
      </c>
      <c r="C3800" s="10" t="s">
        <v>26</v>
      </c>
      <c r="D3800" s="10" t="s">
        <v>64</v>
      </c>
      <c r="E3800" s="15">
        <f>8.802-0.279-0.017-0.143-0.669-0.046-0.093-0.17-0.201-0.095-0.482-0.279-0.279-0.187-0.079</f>
        <v>5.7829999999999995</v>
      </c>
    </row>
    <row r="3801" spans="1:5" x14ac:dyDescent="0.3">
      <c r="A3801" s="10">
        <v>273</v>
      </c>
      <c r="B3801" s="10">
        <v>14</v>
      </c>
      <c r="C3801" s="10" t="s">
        <v>26</v>
      </c>
      <c r="D3801" s="10" t="s">
        <v>1</v>
      </c>
      <c r="E3801" s="15">
        <v>0.92100000000000004</v>
      </c>
    </row>
    <row r="3802" spans="1:5" x14ac:dyDescent="0.3">
      <c r="A3802" s="10">
        <v>273</v>
      </c>
      <c r="B3802" s="10">
        <v>14</v>
      </c>
      <c r="C3802" s="10" t="s">
        <v>79</v>
      </c>
      <c r="D3802" s="10" t="s">
        <v>80</v>
      </c>
      <c r="E3802" s="15">
        <f>1.03+0.019</f>
        <v>1.0489999999999999</v>
      </c>
    </row>
    <row r="3803" spans="1:5" x14ac:dyDescent="0.3">
      <c r="A3803" s="10">
        <v>273</v>
      </c>
      <c r="B3803" s="10">
        <v>14</v>
      </c>
      <c r="C3803" s="10" t="s">
        <v>21</v>
      </c>
      <c r="D3803" s="10" t="s">
        <v>1</v>
      </c>
      <c r="E3803" s="15">
        <f>1.048-0.15-0.187+0.148-0.094-0.148-0.028+0.024-0.187-0.232-0.049-0.127</f>
        <v>1.8000000000000071E-2</v>
      </c>
    </row>
    <row r="3804" spans="1:5" x14ac:dyDescent="0.3">
      <c r="A3804" s="10">
        <v>273</v>
      </c>
      <c r="B3804" s="10">
        <v>14</v>
      </c>
      <c r="C3804" s="10" t="s">
        <v>37</v>
      </c>
      <c r="D3804" s="10" t="s">
        <v>1</v>
      </c>
      <c r="E3804" s="15">
        <v>0.71499999999999997</v>
      </c>
    </row>
    <row r="3805" spans="1:5" x14ac:dyDescent="0.3">
      <c r="A3805" s="10">
        <v>273</v>
      </c>
      <c r="B3805" s="10">
        <v>14</v>
      </c>
      <c r="C3805" s="10" t="s">
        <v>30</v>
      </c>
      <c r="D3805" s="10" t="s">
        <v>1</v>
      </c>
      <c r="E3805" s="15">
        <f>4.982-0.542-0.092-0.356-0.211</f>
        <v>3.781000000000001</v>
      </c>
    </row>
    <row r="3806" spans="1:5" x14ac:dyDescent="0.3">
      <c r="A3806" s="10">
        <v>273</v>
      </c>
      <c r="B3806" s="10">
        <v>14</v>
      </c>
      <c r="C3806" s="10" t="s">
        <v>31</v>
      </c>
      <c r="D3806" s="10" t="s">
        <v>32</v>
      </c>
      <c r="E3806" s="15">
        <f>0.85+2.89+1.875-0.144-0.143-3.409-0.125+4.005</f>
        <v>5.7990000000000004</v>
      </c>
    </row>
    <row r="3807" spans="1:5" x14ac:dyDescent="0.3">
      <c r="A3807" s="8">
        <v>273</v>
      </c>
      <c r="B3807" s="8">
        <v>14</v>
      </c>
      <c r="C3807" s="8" t="s">
        <v>31</v>
      </c>
      <c r="D3807" s="8" t="s">
        <v>32</v>
      </c>
      <c r="E3807" s="9">
        <v>1.0860000000000001</v>
      </c>
    </row>
    <row r="3808" spans="1:5" x14ac:dyDescent="0.3">
      <c r="A3808" s="8">
        <v>273</v>
      </c>
      <c r="B3808" s="8">
        <v>14</v>
      </c>
      <c r="C3808" s="8" t="s">
        <v>31</v>
      </c>
      <c r="D3808" s="8" t="s">
        <v>32</v>
      </c>
      <c r="E3808" s="9">
        <f>5-4.005</f>
        <v>0.99500000000000011</v>
      </c>
    </row>
    <row r="3809" spans="1:5" x14ac:dyDescent="0.3">
      <c r="A3809" s="10">
        <v>273</v>
      </c>
      <c r="B3809" s="10">
        <v>14</v>
      </c>
      <c r="C3809" s="10" t="s">
        <v>29</v>
      </c>
      <c r="D3809" s="10" t="s">
        <v>3</v>
      </c>
      <c r="E3809" s="15">
        <f>17.06-0.054</f>
        <v>17.006</v>
      </c>
    </row>
    <row r="3810" spans="1:5" x14ac:dyDescent="0.3">
      <c r="A3810" s="8">
        <v>273</v>
      </c>
      <c r="B3810" s="8">
        <v>15</v>
      </c>
      <c r="C3810" s="8">
        <v>20</v>
      </c>
      <c r="D3810" s="8" t="s">
        <v>32</v>
      </c>
      <c r="E3810" s="9">
        <f>1.79-0.938</f>
        <v>0.85200000000000009</v>
      </c>
    </row>
    <row r="3811" spans="1:5" x14ac:dyDescent="0.3">
      <c r="A3811" s="10">
        <v>273</v>
      </c>
      <c r="B3811" s="10">
        <v>15</v>
      </c>
      <c r="C3811" s="10" t="s">
        <v>37</v>
      </c>
      <c r="D3811" s="10" t="s">
        <v>180</v>
      </c>
      <c r="E3811" s="15">
        <v>1.145</v>
      </c>
    </row>
    <row r="3812" spans="1:5" x14ac:dyDescent="0.3">
      <c r="A3812" s="8">
        <v>273</v>
      </c>
      <c r="B3812" s="8">
        <v>16</v>
      </c>
      <c r="C3812" s="8">
        <v>20</v>
      </c>
      <c r="D3812" s="8" t="s">
        <v>1</v>
      </c>
      <c r="E3812" s="9">
        <v>5</v>
      </c>
    </row>
    <row r="3813" spans="1:5" x14ac:dyDescent="0.3">
      <c r="A3813" s="10">
        <v>273</v>
      </c>
      <c r="B3813" s="10">
        <v>16</v>
      </c>
      <c r="C3813" s="10" t="s">
        <v>39</v>
      </c>
      <c r="D3813" s="10" t="s">
        <v>132</v>
      </c>
      <c r="E3813" s="15">
        <f>2.324-0.053-0.089</f>
        <v>2.1819999999999999</v>
      </c>
    </row>
    <row r="3814" spans="1:5" x14ac:dyDescent="0.3">
      <c r="A3814" s="10">
        <v>273</v>
      </c>
      <c r="B3814" s="10">
        <v>16</v>
      </c>
      <c r="C3814" s="10">
        <v>20</v>
      </c>
      <c r="D3814" s="10" t="s">
        <v>32</v>
      </c>
      <c r="E3814" s="15">
        <f>0.359+1.384-0.05-0.332-0.114</f>
        <v>1.2469999999999997</v>
      </c>
    </row>
    <row r="3815" spans="1:5" x14ac:dyDescent="0.3">
      <c r="A3815" s="8">
        <v>273</v>
      </c>
      <c r="B3815" s="8">
        <v>16</v>
      </c>
      <c r="C3815" s="8">
        <v>20</v>
      </c>
      <c r="D3815" s="8" t="s">
        <v>32</v>
      </c>
      <c r="E3815" s="9">
        <v>5</v>
      </c>
    </row>
    <row r="3816" spans="1:5" x14ac:dyDescent="0.3">
      <c r="A3816" s="8">
        <v>273</v>
      </c>
      <c r="B3816" s="8">
        <v>16</v>
      </c>
      <c r="C3816" s="8" t="s">
        <v>26</v>
      </c>
      <c r="D3816" s="8" t="s">
        <v>1</v>
      </c>
      <c r="E3816" s="9">
        <v>1.0289999999999999</v>
      </c>
    </row>
    <row r="3817" spans="1:5" x14ac:dyDescent="0.3">
      <c r="A3817" s="8">
        <v>273</v>
      </c>
      <c r="B3817" s="8">
        <v>16</v>
      </c>
      <c r="C3817" s="8" t="s">
        <v>26</v>
      </c>
      <c r="D3817" s="8" t="s">
        <v>64</v>
      </c>
      <c r="E3817" s="9">
        <v>5</v>
      </c>
    </row>
    <row r="3818" spans="1:5" x14ac:dyDescent="0.3">
      <c r="A3818" s="10">
        <v>273</v>
      </c>
      <c r="B3818" s="10">
        <v>16</v>
      </c>
      <c r="C3818" s="10" t="s">
        <v>169</v>
      </c>
      <c r="D3818" s="10" t="s">
        <v>179</v>
      </c>
      <c r="E3818" s="15">
        <v>0.29699999999999999</v>
      </c>
    </row>
    <row r="3819" spans="1:5" x14ac:dyDescent="0.3">
      <c r="A3819" s="8">
        <v>273</v>
      </c>
      <c r="B3819" s="8">
        <v>16</v>
      </c>
      <c r="C3819" s="8" t="s">
        <v>35</v>
      </c>
      <c r="D3819" s="8" t="s">
        <v>32</v>
      </c>
      <c r="E3819" s="9">
        <v>5</v>
      </c>
    </row>
    <row r="3820" spans="1:5" x14ac:dyDescent="0.3">
      <c r="A3820" s="8">
        <v>273</v>
      </c>
      <c r="B3820" s="8">
        <v>16</v>
      </c>
      <c r="C3820" s="8" t="s">
        <v>30</v>
      </c>
      <c r="D3820" s="8" t="s">
        <v>1</v>
      </c>
      <c r="E3820" s="9">
        <v>5</v>
      </c>
    </row>
    <row r="3821" spans="1:5" x14ac:dyDescent="0.3">
      <c r="A3821" s="8">
        <v>273</v>
      </c>
      <c r="B3821" s="8">
        <v>16</v>
      </c>
      <c r="C3821" s="8" t="s">
        <v>31</v>
      </c>
      <c r="D3821" s="8" t="s">
        <v>32</v>
      </c>
      <c r="E3821" s="9">
        <v>1.873</v>
      </c>
    </row>
    <row r="3822" spans="1:5" x14ac:dyDescent="0.3">
      <c r="A3822" s="8">
        <v>273</v>
      </c>
      <c r="B3822" s="8">
        <v>16</v>
      </c>
      <c r="C3822" s="8" t="s">
        <v>29</v>
      </c>
      <c r="D3822" s="8" t="s">
        <v>3</v>
      </c>
      <c r="E3822" s="9">
        <f>1.464+3.573+0.768-0.737-0.684-1.435</f>
        <v>2.9489999999999994</v>
      </c>
    </row>
    <row r="3823" spans="1:5" x14ac:dyDescent="0.3">
      <c r="A3823" s="10">
        <v>273</v>
      </c>
      <c r="B3823" s="10">
        <v>17</v>
      </c>
      <c r="C3823" s="10" t="s">
        <v>37</v>
      </c>
      <c r="D3823" s="10" t="s">
        <v>1</v>
      </c>
      <c r="E3823" s="15">
        <f>2.067+0.588-2.067</f>
        <v>0.58800000000000008</v>
      </c>
    </row>
    <row r="3824" spans="1:5" x14ac:dyDescent="0.3">
      <c r="A3824" s="10">
        <v>273</v>
      </c>
      <c r="B3824" s="10">
        <v>17</v>
      </c>
      <c r="C3824" s="10" t="s">
        <v>37</v>
      </c>
      <c r="D3824" s="10" t="s">
        <v>1</v>
      </c>
      <c r="E3824" s="15">
        <v>2.0670000000000002</v>
      </c>
    </row>
    <row r="3825" spans="1:5" x14ac:dyDescent="0.3">
      <c r="A3825" s="8">
        <v>273</v>
      </c>
      <c r="B3825" s="8">
        <v>18</v>
      </c>
      <c r="C3825" s="8">
        <v>20</v>
      </c>
      <c r="D3825" s="8" t="s">
        <v>1</v>
      </c>
      <c r="E3825" s="9">
        <v>0.46400000000000002</v>
      </c>
    </row>
    <row r="3826" spans="1:5" x14ac:dyDescent="0.3">
      <c r="A3826" s="8">
        <v>273</v>
      </c>
      <c r="B3826" s="8">
        <v>18</v>
      </c>
      <c r="C3826" s="8">
        <v>20</v>
      </c>
      <c r="D3826" s="8" t="s">
        <v>1</v>
      </c>
      <c r="E3826" s="9">
        <v>5</v>
      </c>
    </row>
    <row r="3827" spans="1:5" x14ac:dyDescent="0.3">
      <c r="A3827" s="10">
        <v>273</v>
      </c>
      <c r="B3827" s="10">
        <v>18</v>
      </c>
      <c r="C3827" s="10" t="s">
        <v>39</v>
      </c>
      <c r="D3827" s="10" t="s">
        <v>132</v>
      </c>
      <c r="E3827" s="15">
        <f>3.88-0.119-0.11-0.064</f>
        <v>3.5870000000000002</v>
      </c>
    </row>
    <row r="3828" spans="1:5" x14ac:dyDescent="0.3">
      <c r="A3828" s="8">
        <v>273</v>
      </c>
      <c r="B3828" s="8">
        <v>18</v>
      </c>
      <c r="C3828" s="8">
        <v>20</v>
      </c>
      <c r="D3828" s="8" t="s">
        <v>32</v>
      </c>
      <c r="E3828" s="9">
        <f>0.847+0.888-0.397-0.462</f>
        <v>0.87599999999999989</v>
      </c>
    </row>
    <row r="3829" spans="1:5" x14ac:dyDescent="0.3">
      <c r="A3829" s="10">
        <v>273</v>
      </c>
      <c r="B3829" s="10">
        <v>18</v>
      </c>
      <c r="C3829" s="10" t="s">
        <v>26</v>
      </c>
      <c r="D3829" s="10" t="s">
        <v>1</v>
      </c>
      <c r="E3829" s="15">
        <f>5.227-0.177-0.155-0.693-0.118-0.119-0.122-0.119-0.068</f>
        <v>3.656000000000001</v>
      </c>
    </row>
    <row r="3830" spans="1:5" x14ac:dyDescent="0.3">
      <c r="A3830" s="10">
        <v>273</v>
      </c>
      <c r="B3830" s="10">
        <v>18</v>
      </c>
      <c r="C3830" s="10" t="s">
        <v>26</v>
      </c>
      <c r="D3830" s="10" t="s">
        <v>64</v>
      </c>
      <c r="E3830" s="15">
        <f>3.924+1.99-1.033-0.178-0.388-0.064-0.978-0.291-1.035-0.979</f>
        <v>0.96800000000000075</v>
      </c>
    </row>
    <row r="3831" spans="1:5" x14ac:dyDescent="0.3">
      <c r="A3831" s="10">
        <v>273</v>
      </c>
      <c r="B3831" s="10">
        <v>18</v>
      </c>
      <c r="C3831" s="10" t="s">
        <v>112</v>
      </c>
      <c r="D3831" s="10" t="s">
        <v>1</v>
      </c>
      <c r="E3831" s="15">
        <v>1.32</v>
      </c>
    </row>
    <row r="3832" spans="1:5" x14ac:dyDescent="0.3">
      <c r="A3832" s="8">
        <v>273</v>
      </c>
      <c r="B3832" s="8">
        <v>18</v>
      </c>
      <c r="C3832" s="8">
        <v>45</v>
      </c>
      <c r="D3832" s="8" t="s">
        <v>1</v>
      </c>
      <c r="E3832" s="9">
        <v>3.16</v>
      </c>
    </row>
    <row r="3833" spans="1:5" x14ac:dyDescent="0.3">
      <c r="A3833" s="13">
        <v>273</v>
      </c>
      <c r="B3833" s="13">
        <v>18</v>
      </c>
      <c r="C3833" s="13" t="s">
        <v>37</v>
      </c>
      <c r="D3833" s="13" t="s">
        <v>1</v>
      </c>
      <c r="E3833" s="16">
        <f>1.1+5.558-1.35-1.352-0.076-0.076-0.122-0.18-0.746-2.026</f>
        <v>0.72999999999999954</v>
      </c>
    </row>
    <row r="3834" spans="1:5" x14ac:dyDescent="0.3">
      <c r="A3834" s="10">
        <v>273</v>
      </c>
      <c r="B3834" s="10">
        <v>18</v>
      </c>
      <c r="C3834" s="10" t="s">
        <v>31</v>
      </c>
      <c r="D3834" s="10" t="s">
        <v>32</v>
      </c>
      <c r="E3834" s="15">
        <f>1.71-0.528-0.904-0.071+1.935</f>
        <v>2.1419999999999999</v>
      </c>
    </row>
    <row r="3835" spans="1:5" x14ac:dyDescent="0.3">
      <c r="A3835" s="8">
        <v>273</v>
      </c>
      <c r="B3835" s="8">
        <v>18</v>
      </c>
      <c r="C3835" s="8" t="s">
        <v>31</v>
      </c>
      <c r="D3835" s="8" t="s">
        <v>32</v>
      </c>
      <c r="E3835" s="9">
        <f>5-1.935</f>
        <v>3.0649999999999999</v>
      </c>
    </row>
    <row r="3836" spans="1:5" x14ac:dyDescent="0.3">
      <c r="A3836" s="8">
        <v>273</v>
      </c>
      <c r="B3836" s="8">
        <v>18</v>
      </c>
      <c r="C3836" s="8" t="s">
        <v>29</v>
      </c>
      <c r="D3836" s="8" t="s">
        <v>3</v>
      </c>
      <c r="E3836" s="9">
        <f>1.883+0.996-0.997</f>
        <v>1.8820000000000001</v>
      </c>
    </row>
    <row r="3837" spans="1:5" x14ac:dyDescent="0.3">
      <c r="A3837" s="8">
        <v>273</v>
      </c>
      <c r="B3837" s="8">
        <v>19</v>
      </c>
      <c r="C3837" s="8">
        <v>20</v>
      </c>
      <c r="D3837" s="8" t="s">
        <v>32</v>
      </c>
      <c r="E3837" s="9">
        <v>1.6910000000000001</v>
      </c>
    </row>
    <row r="3838" spans="1:5" x14ac:dyDescent="0.3">
      <c r="A3838" s="10">
        <v>273</v>
      </c>
      <c r="B3838" s="10">
        <v>19</v>
      </c>
      <c r="C3838" s="10">
        <v>20</v>
      </c>
      <c r="D3838" s="10" t="s">
        <v>32</v>
      </c>
      <c r="E3838" s="15">
        <v>0.94599999999999995</v>
      </c>
    </row>
    <row r="3839" spans="1:5" x14ac:dyDescent="0.3">
      <c r="A3839" s="8">
        <v>273</v>
      </c>
      <c r="B3839" s="8">
        <v>19</v>
      </c>
      <c r="C3839" s="8">
        <v>20</v>
      </c>
      <c r="D3839" s="8" t="s">
        <v>32</v>
      </c>
      <c r="E3839" s="9">
        <f>2.45-0.946</f>
        <v>1.5040000000000002</v>
      </c>
    </row>
    <row r="3840" spans="1:5" x14ac:dyDescent="0.3">
      <c r="A3840" s="10">
        <v>273</v>
      </c>
      <c r="B3840" s="10">
        <v>20</v>
      </c>
      <c r="C3840" s="10">
        <v>20</v>
      </c>
      <c r="D3840" s="10" t="s">
        <v>1</v>
      </c>
      <c r="E3840" s="15">
        <f>8.653+1.61-0.317-0.048-0.131-0.158-0.081-0.216-0.608-0.058-0.384-0.131-0.515+5.78-0.218-0.261-0.063-1.187-1.444-0.07-0.143-0.939-0.126-0.145-0.045-0.161-0.125-0.173-0.907-0.208-0.082-0.13-0.309-1.444-0.387-0.17-0.048-0.112-0.208-0.182-0.213-0.033-0.046-0.133-0.071-0.207-0.168-0.217-0.031-0.159-0.321-0.065-0.043-0.195-0.13-0.696</f>
        <v>1.3810000000000018</v>
      </c>
    </row>
    <row r="3841" spans="1:5" x14ac:dyDescent="0.3">
      <c r="A3841" s="10">
        <v>273</v>
      </c>
      <c r="B3841" s="10">
        <v>20</v>
      </c>
      <c r="C3841" s="10" t="s">
        <v>39</v>
      </c>
      <c r="D3841" s="10" t="s">
        <v>132</v>
      </c>
      <c r="E3841" s="15">
        <v>7.09</v>
      </c>
    </row>
    <row r="3842" spans="1:5" x14ac:dyDescent="0.3">
      <c r="A3842" s="8">
        <v>273</v>
      </c>
      <c r="B3842" s="8">
        <v>20</v>
      </c>
      <c r="C3842" s="8">
        <v>20</v>
      </c>
      <c r="D3842" s="8" t="s">
        <v>32</v>
      </c>
      <c r="E3842" s="9">
        <f>0.875-0.153-0.274</f>
        <v>0.44799999999999995</v>
      </c>
    </row>
    <row r="3843" spans="1:5" x14ac:dyDescent="0.3">
      <c r="A3843" s="8">
        <v>273</v>
      </c>
      <c r="B3843" s="8">
        <v>20</v>
      </c>
      <c r="C3843" s="8">
        <v>20</v>
      </c>
      <c r="D3843" s="8" t="s">
        <v>32</v>
      </c>
      <c r="E3843" s="9">
        <v>0.77700000000000002</v>
      </c>
    </row>
    <row r="3844" spans="1:5" x14ac:dyDescent="0.3">
      <c r="A3844" s="10">
        <v>273</v>
      </c>
      <c r="B3844" s="10">
        <v>20</v>
      </c>
      <c r="C3844" s="10" t="s">
        <v>26</v>
      </c>
      <c r="D3844" s="10" t="s">
        <v>7</v>
      </c>
      <c r="E3844" s="15">
        <v>0.93600000000000005</v>
      </c>
    </row>
    <row r="3845" spans="1:5" x14ac:dyDescent="0.3">
      <c r="A3845" s="10">
        <v>273</v>
      </c>
      <c r="B3845" s="10">
        <v>20</v>
      </c>
      <c r="C3845" s="10" t="s">
        <v>26</v>
      </c>
      <c r="D3845" s="10" t="s">
        <v>1</v>
      </c>
      <c r="E3845" s="15">
        <v>1.0269999999999999</v>
      </c>
    </row>
    <row r="3846" spans="1:5" x14ac:dyDescent="0.3">
      <c r="A3846" s="8">
        <v>273</v>
      </c>
      <c r="B3846" s="8">
        <v>20</v>
      </c>
      <c r="C3846" s="8" t="s">
        <v>26</v>
      </c>
      <c r="D3846" s="8" t="s">
        <v>64</v>
      </c>
      <c r="E3846" s="9">
        <v>5</v>
      </c>
    </row>
    <row r="3847" spans="1:5" x14ac:dyDescent="0.3">
      <c r="A3847" s="8">
        <v>273</v>
      </c>
      <c r="B3847" s="8">
        <v>20</v>
      </c>
      <c r="C3847" s="8">
        <v>45</v>
      </c>
      <c r="D3847" s="8" t="s">
        <v>1</v>
      </c>
      <c r="E3847" s="9">
        <v>5</v>
      </c>
    </row>
    <row r="3848" spans="1:5" x14ac:dyDescent="0.3">
      <c r="A3848" s="8">
        <v>273</v>
      </c>
      <c r="B3848" s="8">
        <v>20</v>
      </c>
      <c r="C3848" s="13" t="s">
        <v>35</v>
      </c>
      <c r="D3848" s="8" t="s">
        <v>32</v>
      </c>
      <c r="E3848" s="9">
        <f>2.72-1.037-0.208</f>
        <v>1.4750000000000003</v>
      </c>
    </row>
    <row r="3849" spans="1:5" x14ac:dyDescent="0.3">
      <c r="A3849" s="10">
        <v>273</v>
      </c>
      <c r="B3849" s="10">
        <v>20</v>
      </c>
      <c r="C3849" s="10" t="s">
        <v>28</v>
      </c>
      <c r="D3849" s="10" t="s">
        <v>1</v>
      </c>
      <c r="E3849" s="15">
        <f>0.732+9.424-0.131-0.065</f>
        <v>9.9599999999999991</v>
      </c>
    </row>
    <row r="3850" spans="1:5" x14ac:dyDescent="0.3">
      <c r="A3850" s="8">
        <v>273</v>
      </c>
      <c r="B3850" s="8">
        <v>20</v>
      </c>
      <c r="C3850" s="8" t="s">
        <v>30</v>
      </c>
      <c r="D3850" s="8" t="s">
        <v>1</v>
      </c>
      <c r="E3850" s="9">
        <v>10</v>
      </c>
    </row>
    <row r="3851" spans="1:5" x14ac:dyDescent="0.3">
      <c r="A3851" s="10">
        <v>273</v>
      </c>
      <c r="B3851" s="10">
        <v>20</v>
      </c>
      <c r="C3851" s="10" t="s">
        <v>31</v>
      </c>
      <c r="D3851" s="10" t="s">
        <v>32</v>
      </c>
      <c r="E3851" s="15">
        <f>2.4-0.107</f>
        <v>2.2929999999999997</v>
      </c>
    </row>
    <row r="3852" spans="1:5" x14ac:dyDescent="0.3">
      <c r="A3852" s="10">
        <v>273</v>
      </c>
      <c r="B3852" s="10">
        <v>22</v>
      </c>
      <c r="C3852" s="10">
        <v>20</v>
      </c>
      <c r="D3852" s="10" t="s">
        <v>1</v>
      </c>
      <c r="E3852" s="15">
        <f>4.854-0.036-0.06-0.018-0.641-0.355-0.075-0.17-0.377-0.031-0.363+9.306-0.134-0.186-1.64-0.112-0.134-0.441-0.043-0.047</f>
        <v>9.296999999999997</v>
      </c>
    </row>
    <row r="3853" spans="1:5" x14ac:dyDescent="0.3">
      <c r="A3853" s="10">
        <v>273</v>
      </c>
      <c r="B3853" s="10">
        <v>22</v>
      </c>
      <c r="C3853" s="10">
        <v>20</v>
      </c>
      <c r="D3853" s="10" t="s">
        <v>1</v>
      </c>
      <c r="E3853" s="15">
        <v>1.4999999999999999E-2</v>
      </c>
    </row>
    <row r="3854" spans="1:5" x14ac:dyDescent="0.3">
      <c r="A3854" s="10">
        <v>273</v>
      </c>
      <c r="B3854" s="10">
        <v>22</v>
      </c>
      <c r="C3854" s="10">
        <v>20</v>
      </c>
      <c r="D3854" s="10" t="s">
        <v>32</v>
      </c>
      <c r="E3854" s="15">
        <v>2.0259999999999998</v>
      </c>
    </row>
    <row r="3855" spans="1:5" x14ac:dyDescent="0.3">
      <c r="A3855" s="8">
        <v>273</v>
      </c>
      <c r="B3855" s="8">
        <v>22</v>
      </c>
      <c r="C3855" s="8">
        <v>20</v>
      </c>
      <c r="D3855" s="8" t="s">
        <v>32</v>
      </c>
      <c r="E3855" s="9">
        <f>2.641-2.026</f>
        <v>0.61500000000000021</v>
      </c>
    </row>
    <row r="3856" spans="1:5" x14ac:dyDescent="0.3">
      <c r="A3856" s="10">
        <v>273</v>
      </c>
      <c r="B3856" s="10">
        <v>22</v>
      </c>
      <c r="C3856" s="10" t="s">
        <v>26</v>
      </c>
      <c r="D3856" s="10" t="s">
        <v>1</v>
      </c>
      <c r="E3856" s="15">
        <f>11.182-5.901-0.282-0.764-0.177+1.282-0.211-0.31+2.825+0.611+0.051-0.286-0.153-0.153-0.13-0.217-0.06-0.35-0.13-0.145-0.506-1.065-0.051-0.306-0.042-0.098-0.076-0.278-0.023-0.213-0.035-0.065-0.254-0.301-0.306-0.154-0.14-0.087-0.047</f>
        <v>2.6350000000000047</v>
      </c>
    </row>
    <row r="3857" spans="1:5" x14ac:dyDescent="0.3">
      <c r="A3857" s="10">
        <v>273</v>
      </c>
      <c r="B3857" s="10">
        <v>22</v>
      </c>
      <c r="C3857" s="10" t="s">
        <v>37</v>
      </c>
      <c r="D3857" s="10" t="s">
        <v>1</v>
      </c>
      <c r="E3857" s="15">
        <f>1.553-0.28-0.049+20.9-0.225-0.228-0.145</f>
        <v>21.525999999999996</v>
      </c>
    </row>
    <row r="3858" spans="1:5" x14ac:dyDescent="0.3">
      <c r="A3858" s="10">
        <v>273</v>
      </c>
      <c r="B3858" s="10">
        <v>22</v>
      </c>
      <c r="C3858" s="10" t="s">
        <v>31</v>
      </c>
      <c r="D3858" s="10" t="s">
        <v>32</v>
      </c>
      <c r="E3858" s="15">
        <f>9.254-1.107+3.303-8.089-2.222-0.156+1.82+1.515+3.26+7.13-1.455-0.163-1.796-1.299+0.22-1.73</f>
        <v>8.4849999999999994</v>
      </c>
    </row>
    <row r="3859" spans="1:5" x14ac:dyDescent="0.3">
      <c r="A3859" s="10">
        <v>273</v>
      </c>
      <c r="B3859" s="10">
        <v>22</v>
      </c>
      <c r="C3859" s="10" t="s">
        <v>31</v>
      </c>
      <c r="D3859" s="10" t="s">
        <v>32</v>
      </c>
      <c r="E3859" s="15">
        <f>3.5-0.174-0.113</f>
        <v>3.2130000000000001</v>
      </c>
    </row>
    <row r="3860" spans="1:5" x14ac:dyDescent="0.3">
      <c r="A3860" s="8">
        <v>273</v>
      </c>
      <c r="B3860" s="8">
        <v>22</v>
      </c>
      <c r="C3860" s="8" t="s">
        <v>45</v>
      </c>
      <c r="D3860" s="8" t="s">
        <v>32</v>
      </c>
      <c r="E3860" s="9">
        <v>0.85199999999999998</v>
      </c>
    </row>
    <row r="3861" spans="1:5" x14ac:dyDescent="0.3">
      <c r="A3861" s="10">
        <v>273</v>
      </c>
      <c r="B3861" s="10">
        <v>24</v>
      </c>
      <c r="C3861" s="10">
        <v>20</v>
      </c>
      <c r="D3861" s="10" t="s">
        <v>1</v>
      </c>
      <c r="E3861" s="15">
        <v>0.22</v>
      </c>
    </row>
    <row r="3862" spans="1:5" x14ac:dyDescent="0.3">
      <c r="A3862" s="8">
        <v>273</v>
      </c>
      <c r="B3862" s="8">
        <v>24</v>
      </c>
      <c r="C3862" s="8">
        <v>20</v>
      </c>
      <c r="D3862" s="8" t="s">
        <v>32</v>
      </c>
      <c r="E3862" s="9">
        <v>0.67100000000000004</v>
      </c>
    </row>
    <row r="3863" spans="1:5" x14ac:dyDescent="0.3">
      <c r="A3863" s="10">
        <v>273</v>
      </c>
      <c r="B3863" s="10">
        <v>24</v>
      </c>
      <c r="C3863" s="10" t="s">
        <v>39</v>
      </c>
      <c r="D3863" s="10" t="s">
        <v>132</v>
      </c>
      <c r="E3863" s="15">
        <v>6.8140000000000001</v>
      </c>
    </row>
    <row r="3864" spans="1:5" x14ac:dyDescent="0.3">
      <c r="A3864" s="10">
        <v>273</v>
      </c>
      <c r="B3864" s="10">
        <v>24</v>
      </c>
      <c r="C3864" s="10" t="s">
        <v>26</v>
      </c>
      <c r="D3864" s="10" t="s">
        <v>1</v>
      </c>
      <c r="E3864" s="15">
        <f>3.868-0.071-0.154-0.029-0.213-0.057-0.323-0.159-0.303+2.66</f>
        <v>5.2190000000000003</v>
      </c>
    </row>
    <row r="3865" spans="1:5" x14ac:dyDescent="0.3">
      <c r="A3865" s="8">
        <v>273</v>
      </c>
      <c r="B3865" s="8">
        <v>24</v>
      </c>
      <c r="C3865" s="8" t="s">
        <v>35</v>
      </c>
      <c r="D3865" s="8" t="s">
        <v>32</v>
      </c>
      <c r="E3865" s="9">
        <f>5.87+1.51-2.982+0.12+1.9-0.647-0.135-0.12</f>
        <v>5.5159999999999991</v>
      </c>
    </row>
    <row r="3866" spans="1:5" x14ac:dyDescent="0.3">
      <c r="A3866" s="10">
        <v>273</v>
      </c>
      <c r="B3866" s="10">
        <v>24</v>
      </c>
      <c r="C3866" s="10" t="s">
        <v>31</v>
      </c>
      <c r="D3866" s="10" t="s">
        <v>32</v>
      </c>
      <c r="E3866" s="15">
        <f>2.56+0.77+2.745-0.577-0.039-3.19+4.965</f>
        <v>7.234</v>
      </c>
    </row>
    <row r="3867" spans="1:5" x14ac:dyDescent="0.3">
      <c r="A3867" s="8">
        <v>273</v>
      </c>
      <c r="B3867" s="8">
        <v>25</v>
      </c>
      <c r="C3867" s="8">
        <v>20</v>
      </c>
      <c r="D3867" s="8" t="s">
        <v>1</v>
      </c>
      <c r="E3867" s="9">
        <f>4.992-0.174-0.193-0.237-0.162-0.053</f>
        <v>4.173</v>
      </c>
    </row>
    <row r="3868" spans="1:5" x14ac:dyDescent="0.3">
      <c r="A3868" s="10">
        <v>273</v>
      </c>
      <c r="B3868" s="10">
        <v>25</v>
      </c>
      <c r="C3868" s="10">
        <v>20</v>
      </c>
      <c r="D3868" s="10" t="s">
        <v>32</v>
      </c>
      <c r="E3868" s="15">
        <v>1.762</v>
      </c>
    </row>
    <row r="3869" spans="1:5" x14ac:dyDescent="0.3">
      <c r="A3869" s="10">
        <v>273</v>
      </c>
      <c r="B3869" s="10">
        <v>25</v>
      </c>
      <c r="C3869" s="10" t="s">
        <v>26</v>
      </c>
      <c r="D3869" s="10" t="s">
        <v>1</v>
      </c>
      <c r="E3869" s="15">
        <f>1.775+3.077-1.255-0.17-0.247+11.345-0.07-0.644-0.323-1.175-2.285-0.226-0.293-0.12-0.118-0.164-0.102-0.245-4.568-1.776-0.223-0.872+0.014-0.183+11.31-7.196-2.952-1.147-0.165-0.087-0.166-0.045-0.087-0.709+0.107</f>
        <v>1.500000000000358E-2</v>
      </c>
    </row>
    <row r="3870" spans="1:5" x14ac:dyDescent="0.3">
      <c r="A3870" s="10">
        <v>273</v>
      </c>
      <c r="B3870" s="10">
        <v>25</v>
      </c>
      <c r="C3870" s="10" t="s">
        <v>26</v>
      </c>
      <c r="D3870" s="10" t="s">
        <v>64</v>
      </c>
      <c r="E3870" s="15">
        <f>20.498-0.391-0.023-0.16-0.311-0.823-0.343-0.034-0.233-0.314-1.746-0.16-0.654-0.236-0.158-1.336-0.375</f>
        <v>13.201000000000001</v>
      </c>
    </row>
    <row r="3871" spans="1:5" x14ac:dyDescent="0.3">
      <c r="A3871" s="10">
        <v>273</v>
      </c>
      <c r="B3871" s="10">
        <v>25</v>
      </c>
      <c r="C3871" s="10" t="s">
        <v>28</v>
      </c>
      <c r="D3871" s="10" t="s">
        <v>1</v>
      </c>
      <c r="E3871" s="15">
        <f>9.663-0.482-7.058-0.99-0.205+6.1-0.083-1.086-0.226-1.015-0.113-1.053-0.266-0.088-0.086-0.104-3.126+0.298+2.988-0.08+8.302-0.323-0.326-0.075-0.135</f>
        <v>10.430999999999999</v>
      </c>
    </row>
    <row r="3872" spans="1:5" x14ac:dyDescent="0.3">
      <c r="A3872" s="10">
        <v>273</v>
      </c>
      <c r="B3872" s="10">
        <v>25</v>
      </c>
      <c r="C3872" s="10" t="s">
        <v>30</v>
      </c>
      <c r="D3872" s="10" t="s">
        <v>1</v>
      </c>
      <c r="E3872" s="15">
        <f>7.748-0.161-0.164</f>
        <v>7.4230000000000009</v>
      </c>
    </row>
    <row r="3873" spans="1:5" x14ac:dyDescent="0.3">
      <c r="A3873" s="10">
        <v>273</v>
      </c>
      <c r="B3873" s="10">
        <v>26</v>
      </c>
      <c r="C3873" s="10">
        <v>20</v>
      </c>
      <c r="D3873" s="10" t="s">
        <v>32</v>
      </c>
      <c r="E3873" s="15">
        <f>3.58-0.299-0.89-1.034+2.119+5.805+0.36</f>
        <v>9.6409999999999982</v>
      </c>
    </row>
    <row r="3874" spans="1:5" x14ac:dyDescent="0.3">
      <c r="A3874" s="8">
        <v>273</v>
      </c>
      <c r="B3874" s="8">
        <v>26</v>
      </c>
      <c r="C3874" s="8">
        <v>45</v>
      </c>
      <c r="D3874" s="8" t="s">
        <v>15</v>
      </c>
      <c r="E3874" s="9">
        <f>33.085+23.136+1.788-1.631-1.649-0.038-0.301-0.078-1.25-0.259-3.388-13.912-1.401-8.893-0.188-1.738-1.521-3.415-1.805-0.09-1.773-0.264-1.422-1.717+2.837-0.19-0.127-1.031-0.714-0.109-0.635-1.807-0.854-0.034-0.195-0.22-0.028-0.259-0.026-1.878-0.68-1.145</f>
        <v>4.1809999999999956</v>
      </c>
    </row>
    <row r="3875" spans="1:5" x14ac:dyDescent="0.3">
      <c r="A3875" s="10">
        <v>273</v>
      </c>
      <c r="B3875" s="10">
        <v>26</v>
      </c>
      <c r="C3875" s="10" t="s">
        <v>37</v>
      </c>
      <c r="D3875" s="10" t="s">
        <v>64</v>
      </c>
      <c r="E3875" s="15">
        <f>6.186-1.04-3.349-0.168-0.157</f>
        <v>1.4719999999999998</v>
      </c>
    </row>
    <row r="3876" spans="1:5" x14ac:dyDescent="0.3">
      <c r="A3876" s="10">
        <v>273</v>
      </c>
      <c r="B3876" s="10">
        <v>26</v>
      </c>
      <c r="C3876" s="10" t="s">
        <v>31</v>
      </c>
      <c r="D3876" s="10" t="s">
        <v>32</v>
      </c>
      <c r="E3876" s="15">
        <f>2.26+0.65+0.765-0.921-0.052+11.65-0.626-0.781-0.65</f>
        <v>12.295</v>
      </c>
    </row>
    <row r="3877" spans="1:5" x14ac:dyDescent="0.3">
      <c r="A3877" s="10">
        <v>273</v>
      </c>
      <c r="B3877" s="10">
        <v>28</v>
      </c>
      <c r="C3877" s="10">
        <v>20</v>
      </c>
      <c r="D3877" s="10" t="s">
        <v>1</v>
      </c>
      <c r="E3877" s="15">
        <f>3.298-0.109+1.124</f>
        <v>4.3130000000000006</v>
      </c>
    </row>
    <row r="3878" spans="1:5" x14ac:dyDescent="0.3">
      <c r="A3878" s="8">
        <v>273</v>
      </c>
      <c r="B3878" s="8">
        <v>28</v>
      </c>
      <c r="C3878" s="8">
        <v>20</v>
      </c>
      <c r="D3878" s="8" t="s">
        <v>1</v>
      </c>
      <c r="E3878" s="9">
        <f>5-3.298</f>
        <v>1.702</v>
      </c>
    </row>
    <row r="3879" spans="1:5" x14ac:dyDescent="0.3">
      <c r="A3879" s="8">
        <v>273</v>
      </c>
      <c r="B3879" s="8">
        <v>28</v>
      </c>
      <c r="C3879" s="8">
        <v>20</v>
      </c>
      <c r="D3879" s="8" t="s">
        <v>32</v>
      </c>
      <c r="E3879" s="9">
        <v>0.69299999999999995</v>
      </c>
    </row>
    <row r="3880" spans="1:5" x14ac:dyDescent="0.3">
      <c r="A3880" s="10">
        <v>273</v>
      </c>
      <c r="B3880" s="10">
        <v>28</v>
      </c>
      <c r="C3880" s="10" t="s">
        <v>26</v>
      </c>
      <c r="D3880" s="10" t="s">
        <v>1</v>
      </c>
      <c r="E3880" s="15">
        <f>21.246+6.445+3.547-0.176-0.689-0.328-0.026-5.397-0.043-0.345-3.582-0.18-0.67-0.026-0.067+18.483-1.795-0.177-0.061-0.026-1.79-0.566-0.112-0.854-0.095-10.606-1.576-2.228-0.65-0.078-0.037-2.821-1.514-0.138-0.437-0.095-0.461-0.092-0.028-0.8-0.751-1.562-2.545-0.052-0.749-0.334-0.456-0.497</f>
        <v>4.2089999999999943</v>
      </c>
    </row>
    <row r="3881" spans="1:5" x14ac:dyDescent="0.3">
      <c r="A3881" s="8">
        <v>273</v>
      </c>
      <c r="B3881" s="8">
        <v>28</v>
      </c>
      <c r="C3881" s="10" t="s">
        <v>139</v>
      </c>
      <c r="D3881" s="10" t="s">
        <v>114</v>
      </c>
      <c r="E3881" s="9">
        <v>0.28899999999999998</v>
      </c>
    </row>
    <row r="3882" spans="1:5" x14ac:dyDescent="0.3">
      <c r="A3882" s="8">
        <v>273</v>
      </c>
      <c r="B3882" s="8">
        <v>28</v>
      </c>
      <c r="C3882" s="8" t="s">
        <v>35</v>
      </c>
      <c r="D3882" s="8" t="s">
        <v>32</v>
      </c>
      <c r="E3882" s="9">
        <f>3.65-1.148-0.104</f>
        <v>2.3979999999999997</v>
      </c>
    </row>
    <row r="3883" spans="1:5" x14ac:dyDescent="0.3">
      <c r="A3883" s="8">
        <v>273</v>
      </c>
      <c r="B3883" s="8">
        <v>28</v>
      </c>
      <c r="C3883" s="8" t="s">
        <v>35</v>
      </c>
      <c r="D3883" s="8" t="s">
        <v>32</v>
      </c>
      <c r="E3883" s="9">
        <v>0.89700000000000002</v>
      </c>
    </row>
    <row r="3884" spans="1:5" x14ac:dyDescent="0.3">
      <c r="A3884" s="10">
        <v>273</v>
      </c>
      <c r="B3884" s="10">
        <v>28</v>
      </c>
      <c r="C3884" s="10">
        <v>35</v>
      </c>
      <c r="D3884" s="10" t="s">
        <v>1</v>
      </c>
      <c r="E3884" s="15">
        <f>4.128-2.038+4.002-0.428+2.127-1.478-0.14-1.964-2.127-0.4</f>
        <v>1.6820000000000017</v>
      </c>
    </row>
    <row r="3885" spans="1:5" x14ac:dyDescent="0.3">
      <c r="A3885" s="10">
        <v>273</v>
      </c>
      <c r="B3885" s="10">
        <v>28</v>
      </c>
      <c r="C3885" s="10">
        <v>45</v>
      </c>
      <c r="D3885" s="10" t="s">
        <v>1</v>
      </c>
      <c r="E3885" s="10">
        <f>7.766+15.129+15.248+18.139-10.033-15.437-7.68-5.711-1.003-1.766-3.084-0.021-2.122-0.043-9.019-0.314+0.183</f>
        <v>0.23199999999999954</v>
      </c>
    </row>
    <row r="3886" spans="1:5" x14ac:dyDescent="0.3">
      <c r="A3886" s="10">
        <v>273</v>
      </c>
      <c r="B3886" s="10">
        <v>28</v>
      </c>
      <c r="C3886" s="10">
        <v>45</v>
      </c>
      <c r="D3886" s="10" t="s">
        <v>1</v>
      </c>
      <c r="E3886" s="15">
        <f>10.242-0.28</f>
        <v>9.9620000000000015</v>
      </c>
    </row>
    <row r="3887" spans="1:5" x14ac:dyDescent="0.3">
      <c r="A3887" s="10">
        <v>273</v>
      </c>
      <c r="B3887" s="10">
        <v>28</v>
      </c>
      <c r="C3887" s="10" t="s">
        <v>28</v>
      </c>
      <c r="D3887" s="10" t="s">
        <v>1</v>
      </c>
      <c r="E3887" s="15">
        <f>10.149-8.239-0.356+5.976-2.062-0.152-0.64-0.094-0.918-1.189+11.37-2.535</f>
        <v>11.309999999999997</v>
      </c>
    </row>
    <row r="3888" spans="1:5" x14ac:dyDescent="0.3">
      <c r="A3888" s="8">
        <v>273</v>
      </c>
      <c r="B3888" s="8">
        <v>28</v>
      </c>
      <c r="C3888" s="8" t="s">
        <v>30</v>
      </c>
      <c r="D3888" s="8" t="s">
        <v>1</v>
      </c>
      <c r="E3888" s="9">
        <v>10</v>
      </c>
    </row>
    <row r="3889" spans="1:5" x14ac:dyDescent="0.3">
      <c r="A3889" s="8">
        <v>273</v>
      </c>
      <c r="B3889" s="8">
        <v>30</v>
      </c>
      <c r="C3889" s="8">
        <v>20</v>
      </c>
      <c r="D3889" s="8" t="s">
        <v>1</v>
      </c>
      <c r="E3889" s="9">
        <v>5</v>
      </c>
    </row>
    <row r="3890" spans="1:5" x14ac:dyDescent="0.3">
      <c r="A3890" s="10">
        <v>273</v>
      </c>
      <c r="B3890" s="10">
        <v>30</v>
      </c>
      <c r="C3890" s="10">
        <v>20</v>
      </c>
      <c r="D3890" s="10" t="s">
        <v>32</v>
      </c>
      <c r="E3890" s="15">
        <f>1.314+3.505</f>
        <v>4.819</v>
      </c>
    </row>
    <row r="3891" spans="1:5" x14ac:dyDescent="0.3">
      <c r="A3891" s="10">
        <v>273</v>
      </c>
      <c r="B3891" s="10">
        <v>30</v>
      </c>
      <c r="C3891" s="10" t="s">
        <v>26</v>
      </c>
      <c r="D3891" s="10" t="s">
        <v>1</v>
      </c>
      <c r="E3891" s="15">
        <f>9.294+0.969-0.456-0.514-0.095-0.584-2.915-0.295-0.19+21.373-1.349-0.225-0.086-3.835-3.081-1.55-0.1-0.408-0.191-0.48-0.398-0.028-0.134-0.842-0.314-0.752-0.324-0.16-1.378-0.148</f>
        <v>10.803999999999998</v>
      </c>
    </row>
    <row r="3892" spans="1:5" x14ac:dyDescent="0.3">
      <c r="A3892" s="8">
        <v>273</v>
      </c>
      <c r="B3892" s="8">
        <v>30</v>
      </c>
      <c r="C3892" s="8">
        <v>45</v>
      </c>
      <c r="D3892" s="8" t="s">
        <v>1</v>
      </c>
      <c r="E3892" s="9">
        <f>12.084-0.404-4.196-0.538-2.974</f>
        <v>3.9719999999999995</v>
      </c>
    </row>
    <row r="3893" spans="1:5" x14ac:dyDescent="0.3">
      <c r="A3893" s="10">
        <v>273</v>
      </c>
      <c r="B3893" s="10">
        <v>30</v>
      </c>
      <c r="C3893" s="10" t="s">
        <v>28</v>
      </c>
      <c r="D3893" s="10" t="s">
        <v>1</v>
      </c>
      <c r="E3893" s="15">
        <f>15.782-0.191</f>
        <v>15.590999999999999</v>
      </c>
    </row>
    <row r="3894" spans="1:5" x14ac:dyDescent="0.3">
      <c r="A3894" s="10">
        <v>273</v>
      </c>
      <c r="B3894" s="10">
        <v>30</v>
      </c>
      <c r="C3894" s="10" t="s">
        <v>30</v>
      </c>
      <c r="D3894" s="10" t="s">
        <v>1</v>
      </c>
      <c r="E3894" s="15">
        <f>1.942+7.318-0.084-1.499-2.037-0.098-3.679-0.675</f>
        <v>1.1879999999999999</v>
      </c>
    </row>
    <row r="3895" spans="1:5" x14ac:dyDescent="0.3">
      <c r="A3895" s="10">
        <v>273</v>
      </c>
      <c r="B3895" s="10">
        <v>30</v>
      </c>
      <c r="C3895" s="10" t="s">
        <v>31</v>
      </c>
      <c r="D3895" s="10" t="s">
        <v>32</v>
      </c>
      <c r="E3895" s="15">
        <f>1.007-0.855+0.82+1.915+1.805</f>
        <v>4.6920000000000002</v>
      </c>
    </row>
    <row r="3896" spans="1:5" x14ac:dyDescent="0.3">
      <c r="A3896" s="8">
        <v>273</v>
      </c>
      <c r="B3896" s="8">
        <v>30</v>
      </c>
      <c r="C3896" s="8" t="s">
        <v>31</v>
      </c>
      <c r="D3896" s="8" t="s">
        <v>32</v>
      </c>
      <c r="E3896" s="9">
        <f>7-0.82-1.915-1.805</f>
        <v>2.46</v>
      </c>
    </row>
    <row r="3897" spans="1:5" x14ac:dyDescent="0.3">
      <c r="A3897" s="10">
        <v>273</v>
      </c>
      <c r="B3897" s="10">
        <v>32</v>
      </c>
      <c r="C3897" s="10">
        <v>20</v>
      </c>
      <c r="D3897" s="10" t="s">
        <v>1</v>
      </c>
      <c r="E3897" s="15">
        <f>2.084+8.36-0.207-0.176-0.205-2.09-0.075-0.038+1.988-0.168-0.207-0.205-0.205-0.994-0.038-0.071-0.207-0.087-0.597-0.178</f>
        <v>6.6839999999999984</v>
      </c>
    </row>
    <row r="3898" spans="1:5" x14ac:dyDescent="0.3">
      <c r="A3898" s="8">
        <v>273</v>
      </c>
      <c r="B3898" s="8">
        <v>32</v>
      </c>
      <c r="C3898" s="8">
        <v>20</v>
      </c>
      <c r="D3898" s="8" t="s">
        <v>44</v>
      </c>
      <c r="E3898" s="9">
        <f>4.84-0.043-0.121-0.245-3.3-0.25-0.859+0.008</f>
        <v>3.0000000000000242E-2</v>
      </c>
    </row>
    <row r="3899" spans="1:5" x14ac:dyDescent="0.3">
      <c r="A3899" s="8">
        <v>273</v>
      </c>
      <c r="B3899" s="8">
        <v>32</v>
      </c>
      <c r="C3899" s="8">
        <v>20</v>
      </c>
      <c r="D3899" s="8" t="s">
        <v>32</v>
      </c>
      <c r="E3899" s="9">
        <f>2.114+2.753+1.946-6.075-0.441+0.96+1.025+1.095</f>
        <v>3.3769999999999989</v>
      </c>
    </row>
    <row r="3900" spans="1:5" x14ac:dyDescent="0.3">
      <c r="A3900" s="8">
        <v>273</v>
      </c>
      <c r="B3900" s="8">
        <v>32</v>
      </c>
      <c r="C3900" s="8">
        <v>20</v>
      </c>
      <c r="D3900" s="8" t="s">
        <v>32</v>
      </c>
      <c r="E3900" s="9">
        <f>7-1.025-1.095</f>
        <v>4.88</v>
      </c>
    </row>
    <row r="3901" spans="1:5" x14ac:dyDescent="0.3">
      <c r="A3901" s="10">
        <v>273</v>
      </c>
      <c r="B3901" s="10">
        <v>32</v>
      </c>
      <c r="C3901" s="10" t="s">
        <v>26</v>
      </c>
      <c r="D3901" s="10" t="s">
        <v>1</v>
      </c>
      <c r="E3901" s="15">
        <f>9.632-2.044-3.766</f>
        <v>3.8219999999999992</v>
      </c>
    </row>
    <row r="3902" spans="1:5" x14ac:dyDescent="0.3">
      <c r="A3902" s="10">
        <v>273</v>
      </c>
      <c r="B3902" s="10">
        <v>32</v>
      </c>
      <c r="C3902" s="10" t="s">
        <v>26</v>
      </c>
      <c r="D3902" s="10" t="s">
        <v>1</v>
      </c>
      <c r="E3902" s="15">
        <f>2.175-0.573-0.132-0.046</f>
        <v>1.4239999999999997</v>
      </c>
    </row>
    <row r="3903" spans="1:5" x14ac:dyDescent="0.3">
      <c r="A3903" s="10">
        <v>273</v>
      </c>
      <c r="B3903" s="10">
        <v>32</v>
      </c>
      <c r="C3903" s="10">
        <v>35</v>
      </c>
      <c r="D3903" s="10" t="s">
        <v>1</v>
      </c>
      <c r="E3903" s="15">
        <f>9.794-0.068-1.624-1.533</f>
        <v>6.5690000000000008</v>
      </c>
    </row>
    <row r="3904" spans="1:5" x14ac:dyDescent="0.3">
      <c r="A3904" s="10">
        <v>273</v>
      </c>
      <c r="B3904" s="10">
        <v>32</v>
      </c>
      <c r="C3904" s="10">
        <v>45</v>
      </c>
      <c r="D3904" s="10" t="s">
        <v>1</v>
      </c>
      <c r="E3904" s="15">
        <f>8.774-0.557-0.058-1.557-0.123-2.169-0.069-1.991</f>
        <v>2.2499999999999987</v>
      </c>
    </row>
    <row r="3905" spans="1:5" x14ac:dyDescent="0.3">
      <c r="A3905" s="8">
        <v>273</v>
      </c>
      <c r="B3905" s="8">
        <v>32</v>
      </c>
      <c r="C3905" s="8">
        <v>45</v>
      </c>
      <c r="D3905" s="8" t="s">
        <v>1</v>
      </c>
      <c r="E3905" s="9">
        <v>5</v>
      </c>
    </row>
    <row r="3906" spans="1:5" x14ac:dyDescent="0.3">
      <c r="A3906" s="10">
        <v>273</v>
      </c>
      <c r="B3906" s="10">
        <v>32</v>
      </c>
      <c r="C3906" s="10" t="s">
        <v>30</v>
      </c>
      <c r="D3906" s="10" t="s">
        <v>1</v>
      </c>
      <c r="E3906" s="15">
        <f>6.68-0.394-0.394-3.402-0.1-0.43-0.39-0.564-0.238-0.731+0.079-0.071</f>
        <v>4.4999999999999374E-2</v>
      </c>
    </row>
    <row r="3907" spans="1:5" x14ac:dyDescent="0.3">
      <c r="A3907" s="8">
        <v>273</v>
      </c>
      <c r="B3907" s="8">
        <v>32</v>
      </c>
      <c r="C3907" s="8" t="s">
        <v>30</v>
      </c>
      <c r="D3907" s="8" t="s">
        <v>1</v>
      </c>
      <c r="E3907" s="9">
        <v>10</v>
      </c>
    </row>
    <row r="3908" spans="1:5" x14ac:dyDescent="0.3">
      <c r="A3908" s="8">
        <v>273</v>
      </c>
      <c r="B3908" s="8">
        <v>32</v>
      </c>
      <c r="C3908" s="8" t="s">
        <v>106</v>
      </c>
      <c r="D3908" s="8" t="s">
        <v>1</v>
      </c>
      <c r="E3908" s="9">
        <v>5.8540000000000001</v>
      </c>
    </row>
    <row r="3909" spans="1:5" x14ac:dyDescent="0.3">
      <c r="A3909" s="10">
        <v>273</v>
      </c>
      <c r="B3909" s="10">
        <v>32</v>
      </c>
      <c r="C3909" s="10" t="s">
        <v>31</v>
      </c>
      <c r="D3909" s="10" t="s">
        <v>32</v>
      </c>
      <c r="E3909" s="15">
        <f>6.501+7.855-1.608-0.254-0.626-0.175</f>
        <v>11.693000000000001</v>
      </c>
    </row>
    <row r="3910" spans="1:5" x14ac:dyDescent="0.3">
      <c r="A3910" s="10">
        <v>273</v>
      </c>
      <c r="B3910" s="10">
        <v>32</v>
      </c>
      <c r="C3910" s="10" t="s">
        <v>45</v>
      </c>
      <c r="D3910" s="10" t="s">
        <v>32</v>
      </c>
      <c r="E3910" s="15">
        <f>9.723+13.525-2.744-1.393-0.326-0.093+7.55-0.216</f>
        <v>26.026</v>
      </c>
    </row>
    <row r="3911" spans="1:5" x14ac:dyDescent="0.3">
      <c r="A3911" s="10">
        <v>273</v>
      </c>
      <c r="B3911" s="10">
        <v>34</v>
      </c>
      <c r="C3911" s="10" t="s">
        <v>45</v>
      </c>
      <c r="D3911" s="10" t="s">
        <v>32</v>
      </c>
      <c r="E3911" s="15">
        <v>0.35</v>
      </c>
    </row>
    <row r="3912" spans="1:5" x14ac:dyDescent="0.3">
      <c r="A3912" s="8">
        <v>273</v>
      </c>
      <c r="B3912" s="8">
        <v>35</v>
      </c>
      <c r="C3912" s="8" t="s">
        <v>31</v>
      </c>
      <c r="D3912" s="8" t="s">
        <v>32</v>
      </c>
      <c r="E3912" s="9">
        <v>2.0449999999999999</v>
      </c>
    </row>
    <row r="3913" spans="1:5" x14ac:dyDescent="0.3">
      <c r="A3913" s="10">
        <v>273</v>
      </c>
      <c r="B3913" s="10">
        <v>36</v>
      </c>
      <c r="C3913" s="10">
        <v>20</v>
      </c>
      <c r="D3913" s="10" t="s">
        <v>1</v>
      </c>
      <c r="E3913" s="15">
        <f>12.77-2.159-0.12-0.556-0.101-0.079-0.138-0.101-0.403-4.288-0.12-0.229-0.075-0.116-0.244-0.238-0.083+8.605-2.135-0.118-0.098-0.164-0.077-0.286-0.162-0.229-0.551-0.227-0.824-0.896-0.14-1.1-0.14-0.247-0.133-0.061-0.072-0.682-0.031-0.66-0.142-1.1-0.055-2.315+0.649-0.149-0.12</f>
        <v>5.999999999999997E-2</v>
      </c>
    </row>
    <row r="3914" spans="1:5" x14ac:dyDescent="0.3">
      <c r="A3914" s="10">
        <v>273</v>
      </c>
      <c r="B3914" s="10">
        <v>36</v>
      </c>
      <c r="C3914" s="10">
        <v>20</v>
      </c>
      <c r="D3914" s="10" t="s">
        <v>1</v>
      </c>
      <c r="E3914" s="15">
        <f>1.393+1.214</f>
        <v>2.6070000000000002</v>
      </c>
    </row>
    <row r="3915" spans="1:5" x14ac:dyDescent="0.3">
      <c r="A3915" s="8">
        <v>273</v>
      </c>
      <c r="B3915" s="8">
        <v>36</v>
      </c>
      <c r="C3915" s="8">
        <v>20</v>
      </c>
      <c r="D3915" s="8" t="s">
        <v>1</v>
      </c>
      <c r="E3915" s="9">
        <v>10</v>
      </c>
    </row>
    <row r="3916" spans="1:5" x14ac:dyDescent="0.3">
      <c r="A3916" s="8">
        <v>273</v>
      </c>
      <c r="B3916" s="8">
        <v>36</v>
      </c>
      <c r="C3916" s="8">
        <v>20</v>
      </c>
      <c r="D3916" s="8" t="s">
        <v>32</v>
      </c>
      <c r="E3916" s="9">
        <f>1.62+0.93-1.684-0.367</f>
        <v>0.49900000000000033</v>
      </c>
    </row>
    <row r="3917" spans="1:5" x14ac:dyDescent="0.3">
      <c r="A3917" s="8">
        <v>273</v>
      </c>
      <c r="B3917" s="8">
        <v>36</v>
      </c>
      <c r="C3917" s="8">
        <v>20</v>
      </c>
      <c r="D3917" s="8" t="s">
        <v>32</v>
      </c>
      <c r="E3917" s="9">
        <v>10</v>
      </c>
    </row>
    <row r="3918" spans="1:5" x14ac:dyDescent="0.3">
      <c r="A3918" s="10">
        <v>273</v>
      </c>
      <c r="B3918" s="10">
        <v>36</v>
      </c>
      <c r="C3918" s="10" t="s">
        <v>26</v>
      </c>
      <c r="D3918" s="10" t="s">
        <v>1</v>
      </c>
      <c r="E3918" s="15">
        <f>9.661-0.115-0.443</f>
        <v>9.1029999999999998</v>
      </c>
    </row>
    <row r="3919" spans="1:5" x14ac:dyDescent="0.3">
      <c r="A3919" s="8">
        <v>273</v>
      </c>
      <c r="B3919" s="8">
        <v>36</v>
      </c>
      <c r="C3919" s="8" t="s">
        <v>26</v>
      </c>
      <c r="D3919" s="8" t="s">
        <v>1</v>
      </c>
      <c r="E3919" s="9">
        <v>2.7080000000000002</v>
      </c>
    </row>
    <row r="3920" spans="1:5" x14ac:dyDescent="0.3">
      <c r="A3920" s="8">
        <v>273</v>
      </c>
      <c r="B3920" s="8">
        <v>36</v>
      </c>
      <c r="C3920" s="8" t="s">
        <v>26</v>
      </c>
      <c r="D3920" s="8" t="s">
        <v>1</v>
      </c>
      <c r="E3920" s="9">
        <f>12.101-9.661</f>
        <v>2.4400000000000013</v>
      </c>
    </row>
    <row r="3921" spans="1:5" x14ac:dyDescent="0.3">
      <c r="A3921" s="10">
        <v>273</v>
      </c>
      <c r="B3921" s="10">
        <v>36</v>
      </c>
      <c r="C3921" s="10" t="s">
        <v>35</v>
      </c>
      <c r="D3921" s="10" t="s">
        <v>32</v>
      </c>
      <c r="E3921" s="15">
        <f>5.09-1.48-0.21-0.196-0.048-0.095-0.731-0.51-0.158-0.385-0.342-0.177</f>
        <v>0.75799999999999956</v>
      </c>
    </row>
    <row r="3922" spans="1:5" x14ac:dyDescent="0.3">
      <c r="A3922" s="8">
        <v>273</v>
      </c>
      <c r="B3922" s="8">
        <v>36</v>
      </c>
      <c r="C3922" s="8" t="s">
        <v>35</v>
      </c>
      <c r="D3922" s="8" t="s">
        <v>32</v>
      </c>
      <c r="E3922" s="9">
        <v>10</v>
      </c>
    </row>
    <row r="3923" spans="1:5" x14ac:dyDescent="0.3">
      <c r="A3923" s="10">
        <v>273</v>
      </c>
      <c r="B3923" s="10">
        <v>36</v>
      </c>
      <c r="C3923" s="10">
        <v>35</v>
      </c>
      <c r="D3923" s="10" t="s">
        <v>1</v>
      </c>
      <c r="E3923" s="15">
        <f>13.131-2.125-0.429-1.735-2.18+44.213+3.896+2.088-5.35+2.062+3.998+2.082-2.146-2.268-2.204-1.931-2.092-20.625-2.032-1.929-2.006-2.084-2.078+25.33-0.226-0.226-2.075-0.656-0.662-4.04-0.867-15.367</f>
        <v>19.467000000000002</v>
      </c>
    </row>
    <row r="3924" spans="1:5" x14ac:dyDescent="0.3">
      <c r="A3924" s="8">
        <v>273</v>
      </c>
      <c r="B3924" s="8">
        <v>36</v>
      </c>
      <c r="C3924" s="8">
        <v>45</v>
      </c>
      <c r="D3924" s="8" t="s">
        <v>1</v>
      </c>
      <c r="E3924" s="9">
        <v>20</v>
      </c>
    </row>
    <row r="3925" spans="1:5" x14ac:dyDescent="0.3">
      <c r="A3925" s="8">
        <v>273</v>
      </c>
      <c r="B3925" s="8">
        <v>36</v>
      </c>
      <c r="C3925" s="8" t="s">
        <v>28</v>
      </c>
      <c r="D3925" s="8" t="s">
        <v>1</v>
      </c>
      <c r="E3925" s="9">
        <v>10</v>
      </c>
    </row>
    <row r="3926" spans="1:5" x14ac:dyDescent="0.3">
      <c r="A3926" s="8">
        <v>273</v>
      </c>
      <c r="B3926" s="8">
        <v>36</v>
      </c>
      <c r="C3926" s="8" t="s">
        <v>30</v>
      </c>
      <c r="D3926" s="8" t="s">
        <v>1</v>
      </c>
      <c r="E3926" s="9">
        <v>10</v>
      </c>
    </row>
    <row r="3927" spans="1:5" x14ac:dyDescent="0.3">
      <c r="A3927" s="8">
        <v>273</v>
      </c>
      <c r="B3927" s="8">
        <v>36</v>
      </c>
      <c r="C3927" s="8" t="s">
        <v>106</v>
      </c>
      <c r="D3927" s="8" t="s">
        <v>1</v>
      </c>
      <c r="E3927" s="9">
        <f>3.828+1.928</f>
        <v>5.7560000000000002</v>
      </c>
    </row>
    <row r="3928" spans="1:5" x14ac:dyDescent="0.3">
      <c r="A3928" s="8">
        <v>273</v>
      </c>
      <c r="B3928" s="8">
        <v>36</v>
      </c>
      <c r="C3928" s="8" t="s">
        <v>31</v>
      </c>
      <c r="D3928" s="8" t="s">
        <v>32</v>
      </c>
      <c r="E3928" s="9">
        <f>1.955-0.841+4.98+9.47-2.54+1.21-2.835</f>
        <v>11.399000000000001</v>
      </c>
    </row>
    <row r="3929" spans="1:5" x14ac:dyDescent="0.3">
      <c r="A3929" s="10">
        <v>273</v>
      </c>
      <c r="B3929" s="10">
        <v>36</v>
      </c>
      <c r="C3929" s="10" t="s">
        <v>45</v>
      </c>
      <c r="D3929" s="10" t="s">
        <v>32</v>
      </c>
      <c r="E3929" s="15">
        <f>0.91+0.72</f>
        <v>1.63</v>
      </c>
    </row>
    <row r="3930" spans="1:5" x14ac:dyDescent="0.3">
      <c r="A3930" s="8">
        <v>273</v>
      </c>
      <c r="B3930" s="8">
        <v>36</v>
      </c>
      <c r="C3930" s="8" t="s">
        <v>45</v>
      </c>
      <c r="D3930" s="8" t="s">
        <v>32</v>
      </c>
      <c r="E3930" s="9">
        <v>20</v>
      </c>
    </row>
    <row r="3931" spans="1:5" x14ac:dyDescent="0.3">
      <c r="A3931" s="10">
        <v>273</v>
      </c>
      <c r="B3931" s="10">
        <v>38</v>
      </c>
      <c r="C3931" s="10" t="s">
        <v>31</v>
      </c>
      <c r="D3931" s="10" t="s">
        <v>32</v>
      </c>
      <c r="E3931" s="15">
        <f>3.78-2.014+0.906</f>
        <v>2.6720000000000002</v>
      </c>
    </row>
    <row r="3932" spans="1:5" x14ac:dyDescent="0.3">
      <c r="A3932" s="8">
        <v>273</v>
      </c>
      <c r="B3932" s="8">
        <v>40</v>
      </c>
      <c r="C3932" s="8">
        <v>20</v>
      </c>
      <c r="D3932" s="8" t="s">
        <v>1</v>
      </c>
      <c r="E3932" s="9">
        <v>10</v>
      </c>
    </row>
    <row r="3933" spans="1:5" x14ac:dyDescent="0.3">
      <c r="A3933" s="8">
        <v>273</v>
      </c>
      <c r="B3933" s="8">
        <v>40</v>
      </c>
      <c r="C3933" s="8" t="s">
        <v>26</v>
      </c>
      <c r="D3933" s="8" t="s">
        <v>1</v>
      </c>
      <c r="E3933" s="9">
        <v>11.305999999999999</v>
      </c>
    </row>
    <row r="3934" spans="1:5" x14ac:dyDescent="0.3">
      <c r="A3934" s="8">
        <v>273</v>
      </c>
      <c r="B3934" s="8">
        <v>40</v>
      </c>
      <c r="C3934" s="8">
        <v>35</v>
      </c>
      <c r="D3934" s="8" t="s">
        <v>1</v>
      </c>
      <c r="E3934" s="9">
        <f>2.182+12.842-0.287-2.2-0.127</f>
        <v>12.409999999999998</v>
      </c>
    </row>
    <row r="3935" spans="1:5" x14ac:dyDescent="0.3">
      <c r="A3935" s="10">
        <v>273</v>
      </c>
      <c r="B3935" s="10">
        <v>40</v>
      </c>
      <c r="C3935" s="10">
        <v>45</v>
      </c>
      <c r="D3935" s="10" t="s">
        <v>1</v>
      </c>
      <c r="E3935" s="15">
        <f>2.172-0.146-0.093-0.471-0.361+3.468-1.833+4.066+2.052+10.67-0.506-0.07-0.242-0.105-0.36-0.592-0.239-0.244-0.163-0.054</f>
        <v>16.949000000000002</v>
      </c>
    </row>
    <row r="3936" spans="1:5" x14ac:dyDescent="0.3">
      <c r="A3936" s="10">
        <v>273</v>
      </c>
      <c r="B3936" s="10">
        <v>40</v>
      </c>
      <c r="C3936" s="10" t="s">
        <v>35</v>
      </c>
      <c r="D3936" s="10" t="s">
        <v>32</v>
      </c>
      <c r="E3936" s="15">
        <v>4.0919999999999996</v>
      </c>
    </row>
    <row r="3937" spans="1:5" x14ac:dyDescent="0.3">
      <c r="A3937" s="10">
        <v>273</v>
      </c>
      <c r="B3937" s="10">
        <v>40</v>
      </c>
      <c r="C3937" s="10" t="s">
        <v>28</v>
      </c>
      <c r="D3937" s="10" t="s">
        <v>1</v>
      </c>
      <c r="E3937" s="15">
        <f>7.366+1.891-0.128-0.552-0.732-1.858-0.947-3.771-0.147-0.133</f>
        <v>0.9890000000000001</v>
      </c>
    </row>
    <row r="3938" spans="1:5" x14ac:dyDescent="0.3">
      <c r="A3938" s="10">
        <v>273</v>
      </c>
      <c r="B3938" s="10">
        <v>40</v>
      </c>
      <c r="C3938" s="10" t="s">
        <v>31</v>
      </c>
      <c r="D3938" s="10" t="s">
        <v>32</v>
      </c>
      <c r="E3938" s="15">
        <v>8.7319999999999993</v>
      </c>
    </row>
    <row r="3939" spans="1:5" x14ac:dyDescent="0.3">
      <c r="A3939" s="8">
        <v>273</v>
      </c>
      <c r="B3939" s="8">
        <v>40</v>
      </c>
      <c r="C3939" s="8" t="s">
        <v>31</v>
      </c>
      <c r="D3939" s="8" t="s">
        <v>32</v>
      </c>
      <c r="E3939" s="9">
        <v>0.91500000000000004</v>
      </c>
    </row>
    <row r="3940" spans="1:5" x14ac:dyDescent="0.3">
      <c r="A3940" s="10">
        <v>273</v>
      </c>
      <c r="B3940" s="10">
        <v>40</v>
      </c>
      <c r="C3940" s="10" t="s">
        <v>45</v>
      </c>
      <c r="D3940" s="10" t="s">
        <v>32</v>
      </c>
      <c r="E3940" s="15">
        <f>4.7+3.169+1.554+1.549-0.749-2.354-4.701-1.574-0.179-0.335-0.508</f>
        <v>0.57199999999999918</v>
      </c>
    </row>
    <row r="3941" spans="1:5" x14ac:dyDescent="0.3">
      <c r="A3941" s="10">
        <v>273</v>
      </c>
      <c r="B3941" s="10">
        <v>40</v>
      </c>
      <c r="C3941" s="10" t="s">
        <v>45</v>
      </c>
      <c r="D3941" s="10" t="s">
        <v>32</v>
      </c>
      <c r="E3941" s="15">
        <v>1.68</v>
      </c>
    </row>
    <row r="3942" spans="1:5" x14ac:dyDescent="0.3">
      <c r="A3942" s="10">
        <v>273</v>
      </c>
      <c r="B3942" s="10">
        <v>42</v>
      </c>
      <c r="C3942" s="10" t="s">
        <v>35</v>
      </c>
      <c r="D3942" s="10" t="s">
        <v>32</v>
      </c>
      <c r="E3942" s="15">
        <f>1.035-0.448</f>
        <v>0.58699999999999997</v>
      </c>
    </row>
    <row r="3943" spans="1:5" x14ac:dyDescent="0.3">
      <c r="A3943" s="8">
        <v>273</v>
      </c>
      <c r="B3943" s="8">
        <v>42</v>
      </c>
      <c r="C3943" s="8" t="s">
        <v>35</v>
      </c>
      <c r="D3943" s="8" t="s">
        <v>32</v>
      </c>
      <c r="E3943" s="9">
        <v>10</v>
      </c>
    </row>
    <row r="3944" spans="1:5" x14ac:dyDescent="0.3">
      <c r="A3944" s="10">
        <v>273</v>
      </c>
      <c r="B3944" s="10">
        <v>45</v>
      </c>
      <c r="C3944" s="10">
        <v>20</v>
      </c>
      <c r="D3944" s="10" t="s">
        <v>1</v>
      </c>
      <c r="E3944" s="15">
        <f>8.244-0.201-0.095-0.098-0.113-0.175-0.398-0.09-0.27</f>
        <v>6.8040000000000003</v>
      </c>
    </row>
    <row r="3945" spans="1:5" x14ac:dyDescent="0.3">
      <c r="A3945" s="8">
        <v>273</v>
      </c>
      <c r="B3945" s="8">
        <v>45</v>
      </c>
      <c r="C3945" s="8" t="s">
        <v>26</v>
      </c>
      <c r="D3945" s="8" t="s">
        <v>1</v>
      </c>
      <c r="E3945" s="9">
        <v>10.727</v>
      </c>
    </row>
    <row r="3946" spans="1:5" x14ac:dyDescent="0.3">
      <c r="A3946" s="8">
        <v>273</v>
      </c>
      <c r="B3946" s="8">
        <v>45</v>
      </c>
      <c r="C3946" s="8" t="s">
        <v>35</v>
      </c>
      <c r="D3946" s="8" t="s">
        <v>32</v>
      </c>
      <c r="E3946" s="9">
        <f>4.155+1.36-0.303</f>
        <v>5.2120000000000006</v>
      </c>
    </row>
    <row r="3947" spans="1:5" x14ac:dyDescent="0.3">
      <c r="A3947" s="10">
        <v>273</v>
      </c>
      <c r="B3947" s="10">
        <v>45</v>
      </c>
      <c r="C3947" s="10">
        <v>35</v>
      </c>
      <c r="D3947" s="10" t="s">
        <v>1</v>
      </c>
      <c r="E3947" s="15">
        <f>14.877+4.935-1.025-2.469-1.126-2.034-2.482-2.461-0.438-0.642-4.966-0.671-0.59-0.598+8.432+2.038-0.314-0.272-0.037</f>
        <v>10.157</v>
      </c>
    </row>
    <row r="3948" spans="1:5" x14ac:dyDescent="0.3">
      <c r="A3948" s="8">
        <v>273</v>
      </c>
      <c r="B3948" s="8">
        <v>45</v>
      </c>
      <c r="C3948" s="8">
        <v>35</v>
      </c>
      <c r="D3948" s="8" t="s">
        <v>1</v>
      </c>
      <c r="E3948" s="9">
        <v>1.2150000000000001</v>
      </c>
    </row>
    <row r="3949" spans="1:5" x14ac:dyDescent="0.3">
      <c r="A3949" s="8">
        <v>273</v>
      </c>
      <c r="B3949" s="8">
        <v>45</v>
      </c>
      <c r="C3949" s="8">
        <v>45</v>
      </c>
      <c r="D3949" s="8" t="s">
        <v>1</v>
      </c>
      <c r="E3949" s="9">
        <v>20</v>
      </c>
    </row>
    <row r="3950" spans="1:5" x14ac:dyDescent="0.3">
      <c r="A3950" s="10">
        <v>273</v>
      </c>
      <c r="B3950" s="10">
        <v>45</v>
      </c>
      <c r="C3950" s="10" t="s">
        <v>28</v>
      </c>
      <c r="D3950" s="10" t="s">
        <v>1</v>
      </c>
      <c r="E3950" s="15">
        <f>9.169-1.037-0.276-0.276-1.823-0.841-0.779-0.346-1.042-0.181-0.325-0.614</f>
        <v>1.6290000000000013</v>
      </c>
    </row>
    <row r="3951" spans="1:5" x14ac:dyDescent="0.3">
      <c r="A3951" s="10">
        <v>273</v>
      </c>
      <c r="B3951" s="10">
        <v>45</v>
      </c>
      <c r="C3951" s="10" t="s">
        <v>28</v>
      </c>
      <c r="D3951" s="10" t="s">
        <v>1</v>
      </c>
      <c r="E3951" s="15">
        <f>4.77+10.19+5.355</f>
        <v>20.314999999999998</v>
      </c>
    </row>
    <row r="3952" spans="1:5" x14ac:dyDescent="0.3">
      <c r="A3952" s="10">
        <v>273</v>
      </c>
      <c r="B3952" s="10">
        <v>45</v>
      </c>
      <c r="C3952" s="10" t="s">
        <v>28</v>
      </c>
      <c r="D3952" s="10" t="s">
        <v>1</v>
      </c>
      <c r="E3952" s="15">
        <v>10</v>
      </c>
    </row>
    <row r="3953" spans="1:5" x14ac:dyDescent="0.3">
      <c r="A3953" s="10">
        <v>273</v>
      </c>
      <c r="B3953" s="10">
        <v>45</v>
      </c>
      <c r="C3953" s="10" t="s">
        <v>31</v>
      </c>
      <c r="D3953" s="10" t="s">
        <v>32</v>
      </c>
      <c r="E3953" s="15">
        <f>11.986-4.423-1.484-1.512-0.737-1.487-0.753</f>
        <v>1.5899999999999999</v>
      </c>
    </row>
    <row r="3954" spans="1:5" x14ac:dyDescent="0.3">
      <c r="A3954" s="8">
        <v>273</v>
      </c>
      <c r="B3954" s="8">
        <v>45</v>
      </c>
      <c r="C3954" s="8" t="s">
        <v>31</v>
      </c>
      <c r="D3954" s="8" t="s">
        <v>32</v>
      </c>
      <c r="E3954" s="9">
        <v>0.91500000000000004</v>
      </c>
    </row>
    <row r="3955" spans="1:5" x14ac:dyDescent="0.3">
      <c r="A3955" s="8">
        <v>273</v>
      </c>
      <c r="B3955" s="8">
        <v>45</v>
      </c>
      <c r="C3955" s="8" t="s">
        <v>31</v>
      </c>
      <c r="D3955" s="8" t="s">
        <v>32</v>
      </c>
      <c r="E3955" s="9">
        <v>10</v>
      </c>
    </row>
    <row r="3956" spans="1:5" x14ac:dyDescent="0.3">
      <c r="A3956" s="10">
        <v>273</v>
      </c>
      <c r="B3956" s="10">
        <v>45</v>
      </c>
      <c r="C3956" s="10" t="s">
        <v>45</v>
      </c>
      <c r="D3956" s="10" t="s">
        <v>32</v>
      </c>
      <c r="E3956" s="15">
        <f>9.218-1.394-3.16-1.541-0.829+9.965+3.355-4.315-0.781-1.51</f>
        <v>9.0079999999999991</v>
      </c>
    </row>
    <row r="3957" spans="1:5" x14ac:dyDescent="0.3">
      <c r="A3957" s="10">
        <v>273</v>
      </c>
      <c r="B3957" s="10">
        <v>50</v>
      </c>
      <c r="C3957" s="10">
        <v>20</v>
      </c>
      <c r="D3957" s="10" t="s">
        <v>1</v>
      </c>
      <c r="E3957" s="15">
        <f>4.846-0.175-0.149+4.869+21.932-2.446-2.11-0.292-1.14-0.436-0.184-0.077-0.326-0.201-0.857-2.387-1.197-0.382-0.58-0.097-0.558-0.091-0.295-0.577-0.119-0.297-0.153-0.051-0.224-0.351-0.091-0.148-0.297-0.102-0.196-0.577-0.334-0.046-0.411-0.156+9.966-0.156-0.102-1.344-0.676</f>
        <v>21.224999999999994</v>
      </c>
    </row>
    <row r="3958" spans="1:5" x14ac:dyDescent="0.3">
      <c r="A3958" s="8">
        <v>273</v>
      </c>
      <c r="B3958" s="8">
        <v>50</v>
      </c>
      <c r="C3958" s="8">
        <v>20</v>
      </c>
      <c r="D3958" s="8" t="s">
        <v>32</v>
      </c>
      <c r="E3958" s="9">
        <v>5</v>
      </c>
    </row>
    <row r="3959" spans="1:5" x14ac:dyDescent="0.3">
      <c r="A3959" s="10">
        <v>273</v>
      </c>
      <c r="B3959" s="10">
        <v>50</v>
      </c>
      <c r="C3959" s="10" t="s">
        <v>26</v>
      </c>
      <c r="D3959" s="10" t="s">
        <v>20</v>
      </c>
      <c r="E3959" s="15">
        <f>8.381-0.067-0.431-0.85+0.02-0.292-0.428-0.15-0.678-2.212-0.215</f>
        <v>3.0779999999999998</v>
      </c>
    </row>
    <row r="3960" spans="1:5" x14ac:dyDescent="0.3">
      <c r="A3960" s="10">
        <v>273</v>
      </c>
      <c r="B3960" s="10">
        <v>50</v>
      </c>
      <c r="C3960" s="10" t="s">
        <v>26</v>
      </c>
      <c r="D3960" s="10" t="s">
        <v>1</v>
      </c>
      <c r="E3960" s="15">
        <f>8.114-0.51-0.062-0.062-0.062-0.064-0.9-0.431-0.314-0.214-1.387-0.064-0.734-1.256-0.564-0.848-0.345+1.482+1.144-0.075-0.25-1.156-0.225-0.35-0.461-0.217-0.212+0.076</f>
        <v>5.299999999999809E-2</v>
      </c>
    </row>
    <row r="3961" spans="1:5" x14ac:dyDescent="0.3">
      <c r="A3961" s="10">
        <v>273</v>
      </c>
      <c r="B3961" s="10">
        <v>50</v>
      </c>
      <c r="C3961" s="10" t="s">
        <v>26</v>
      </c>
      <c r="D3961" s="10" t="s">
        <v>64</v>
      </c>
      <c r="E3961" s="15">
        <f>4.126+1.99-0.37-0.595-1.034-2.045-0.142</f>
        <v>1.930000000000001</v>
      </c>
    </row>
    <row r="3962" spans="1:5" x14ac:dyDescent="0.3">
      <c r="A3962" s="10">
        <v>273</v>
      </c>
      <c r="B3962" s="10">
        <v>50</v>
      </c>
      <c r="C3962" s="10">
        <v>35</v>
      </c>
      <c r="D3962" s="10" t="s">
        <v>1</v>
      </c>
      <c r="E3962" s="15">
        <f>20.386-2.534-1.106-0.148-1.281-5.12-0.214-2.325-0.148-0.192-0.35-0.489-0.159-0.153-0.15-0.153-0.428-0.067</f>
        <v>5.3689999999999998</v>
      </c>
    </row>
    <row r="3963" spans="1:5" x14ac:dyDescent="0.3">
      <c r="A3963" s="8">
        <v>273</v>
      </c>
      <c r="B3963" s="8">
        <v>50</v>
      </c>
      <c r="C3963" s="8">
        <v>45</v>
      </c>
      <c r="D3963" s="8" t="s">
        <v>1</v>
      </c>
      <c r="E3963" s="9">
        <v>4.0419999999999998</v>
      </c>
    </row>
    <row r="3964" spans="1:5" x14ac:dyDescent="0.3">
      <c r="A3964" s="10">
        <v>273</v>
      </c>
      <c r="B3964" s="10">
        <v>50</v>
      </c>
      <c r="C3964" s="10" t="s">
        <v>28</v>
      </c>
      <c r="D3964" s="10" t="s">
        <v>1</v>
      </c>
      <c r="E3964" s="15">
        <v>10.523999999999999</v>
      </c>
    </row>
    <row r="3965" spans="1:5" x14ac:dyDescent="0.3">
      <c r="A3965" s="8">
        <v>273</v>
      </c>
      <c r="B3965" s="8">
        <v>50</v>
      </c>
      <c r="C3965" s="8" t="s">
        <v>30</v>
      </c>
      <c r="D3965" s="8" t="s">
        <v>1</v>
      </c>
      <c r="E3965" s="9">
        <v>10</v>
      </c>
    </row>
    <row r="3966" spans="1:5" x14ac:dyDescent="0.3">
      <c r="A3966" s="10">
        <v>273</v>
      </c>
      <c r="B3966" s="10">
        <v>50</v>
      </c>
      <c r="C3966" s="10" t="s">
        <v>106</v>
      </c>
      <c r="D3966" s="10" t="s">
        <v>1</v>
      </c>
      <c r="E3966" s="15">
        <v>5.1459999999999999</v>
      </c>
    </row>
    <row r="3967" spans="1:5" x14ac:dyDescent="0.3">
      <c r="A3967" s="10">
        <v>273</v>
      </c>
      <c r="B3967" s="10">
        <v>50</v>
      </c>
      <c r="C3967" s="10" t="s">
        <v>31</v>
      </c>
      <c r="D3967" s="10" t="s">
        <v>32</v>
      </c>
      <c r="E3967" s="15">
        <f>5.894-1.845</f>
        <v>4.0490000000000004</v>
      </c>
    </row>
    <row r="3968" spans="1:5" x14ac:dyDescent="0.3">
      <c r="A3968" s="8">
        <v>273</v>
      </c>
      <c r="B3968" s="8">
        <v>50</v>
      </c>
      <c r="C3968" s="8" t="s">
        <v>45</v>
      </c>
      <c r="D3968" s="8" t="s">
        <v>32</v>
      </c>
      <c r="E3968" s="9">
        <f>10.484-0.108-1.439-3.384-0.181</f>
        <v>5.371999999999999</v>
      </c>
    </row>
    <row r="3969" spans="1:5" x14ac:dyDescent="0.3">
      <c r="A3969" s="8">
        <v>273</v>
      </c>
      <c r="B3969" s="8">
        <v>50</v>
      </c>
      <c r="C3969" s="8" t="s">
        <v>45</v>
      </c>
      <c r="D3969" s="8" t="s">
        <v>32</v>
      </c>
      <c r="E3969" s="9">
        <v>1.1060000000000001</v>
      </c>
    </row>
    <row r="3970" spans="1:5" x14ac:dyDescent="0.3">
      <c r="A3970" s="10">
        <v>273</v>
      </c>
      <c r="B3970" s="10">
        <v>60</v>
      </c>
      <c r="C3970" s="10">
        <v>20</v>
      </c>
      <c r="D3970" s="10" t="s">
        <v>1</v>
      </c>
      <c r="E3970" s="15">
        <f>1.648+4.441-0.67-4.271+9.885-0.994-1.483-0.975-2.506</f>
        <v>5.0749999999999993</v>
      </c>
    </row>
    <row r="3971" spans="1:5" x14ac:dyDescent="0.3">
      <c r="A3971" s="8">
        <v>273</v>
      </c>
      <c r="B3971" s="8">
        <v>60</v>
      </c>
      <c r="C3971" s="8">
        <v>20</v>
      </c>
      <c r="D3971" s="8" t="s">
        <v>32</v>
      </c>
      <c r="E3971" s="9">
        <f>1.123-0.615</f>
        <v>0.50800000000000001</v>
      </c>
    </row>
    <row r="3972" spans="1:5" x14ac:dyDescent="0.3">
      <c r="A3972" s="8">
        <v>273</v>
      </c>
      <c r="B3972" s="8">
        <v>60</v>
      </c>
      <c r="C3972" s="8">
        <v>20</v>
      </c>
      <c r="D3972" s="8" t="s">
        <v>32</v>
      </c>
      <c r="E3972" s="9">
        <v>5</v>
      </c>
    </row>
    <row r="3973" spans="1:5" x14ac:dyDescent="0.3">
      <c r="A3973" s="10">
        <v>273</v>
      </c>
      <c r="B3973" s="10">
        <v>60</v>
      </c>
      <c r="C3973" s="10" t="s">
        <v>26</v>
      </c>
      <c r="D3973" s="10" t="s">
        <v>1</v>
      </c>
      <c r="E3973" s="15">
        <f>8.723-0.816-1.664-0.36-1.463+3.495-0.137+1.561-0.818-2.486-3.496+18.1-1.561-3.046-2.023</f>
        <v>14.009000000000004</v>
      </c>
    </row>
    <row r="3974" spans="1:5" x14ac:dyDescent="0.3">
      <c r="A3974" s="10">
        <v>273</v>
      </c>
      <c r="B3974" s="10">
        <v>60</v>
      </c>
      <c r="C3974" s="10">
        <v>35</v>
      </c>
      <c r="D3974" s="10" t="s">
        <v>1</v>
      </c>
      <c r="E3974" s="15">
        <f>9.978-2.559-0.078-0.718-0.174</f>
        <v>6.448999999999999</v>
      </c>
    </row>
    <row r="3975" spans="1:5" x14ac:dyDescent="0.3">
      <c r="A3975" s="10">
        <v>273</v>
      </c>
      <c r="B3975" s="10">
        <v>60</v>
      </c>
      <c r="C3975" s="10">
        <v>45</v>
      </c>
      <c r="D3975" s="10" t="s">
        <v>1</v>
      </c>
      <c r="E3975" s="15">
        <f>11.114-0.271-2.803-0.5-4.75-1.954+8.362-2.263-0.371+2.122-0.564-2-4.306</f>
        <v>1.8159999999999981</v>
      </c>
    </row>
    <row r="3976" spans="1:5" x14ac:dyDescent="0.3">
      <c r="A3976" s="10">
        <v>273</v>
      </c>
      <c r="B3976" s="10">
        <v>60</v>
      </c>
      <c r="C3976" s="10" t="s">
        <v>28</v>
      </c>
      <c r="D3976" s="10" t="s">
        <v>1</v>
      </c>
      <c r="E3976" s="15">
        <f>5.872+2.91-0.339-2.618-0.149-1.02+2.913-0.336-0.072-1.392</f>
        <v>5.7689999999999984</v>
      </c>
    </row>
    <row r="3977" spans="1:5" x14ac:dyDescent="0.3">
      <c r="A3977" s="8">
        <v>273</v>
      </c>
      <c r="B3977" s="8">
        <v>60</v>
      </c>
      <c r="C3977" s="8" t="s">
        <v>30</v>
      </c>
      <c r="D3977" s="8" t="s">
        <v>1</v>
      </c>
      <c r="E3977" s="9">
        <v>5</v>
      </c>
    </row>
    <row r="3978" spans="1:5" x14ac:dyDescent="0.3">
      <c r="A3978" s="10">
        <v>273</v>
      </c>
      <c r="B3978" s="10">
        <v>60</v>
      </c>
      <c r="C3978" s="10" t="s">
        <v>31</v>
      </c>
      <c r="D3978" s="10" t="s">
        <v>32</v>
      </c>
      <c r="E3978" s="15">
        <f>4.402+2.66-1.471-0.347</f>
        <v>5.2439999999999998</v>
      </c>
    </row>
    <row r="3979" spans="1:5" x14ac:dyDescent="0.3">
      <c r="A3979" s="10">
        <v>273</v>
      </c>
      <c r="B3979" s="10">
        <v>60</v>
      </c>
      <c r="C3979" s="10" t="s">
        <v>45</v>
      </c>
      <c r="D3979" s="10" t="s">
        <v>32</v>
      </c>
      <c r="E3979" s="15">
        <f>14.754-1.43-0.683-0.28-1.476-2.964-2.957-0.485</f>
        <v>4.479000000000001</v>
      </c>
    </row>
    <row r="3980" spans="1:5" x14ac:dyDescent="0.3">
      <c r="A3980" s="8">
        <v>273</v>
      </c>
      <c r="B3980" s="8">
        <v>65</v>
      </c>
      <c r="C3980" s="8" t="s">
        <v>28</v>
      </c>
      <c r="D3980" s="8" t="s">
        <v>1</v>
      </c>
      <c r="E3980" s="9">
        <v>10.826000000000001</v>
      </c>
    </row>
    <row r="3981" spans="1:5" x14ac:dyDescent="0.3">
      <c r="A3981" s="10">
        <v>273</v>
      </c>
      <c r="B3981" s="10">
        <v>70</v>
      </c>
      <c r="C3981" s="10">
        <v>20</v>
      </c>
      <c r="D3981" s="10" t="s">
        <v>1</v>
      </c>
      <c r="E3981" s="15">
        <f>8.99-0.379</f>
        <v>8.6110000000000007</v>
      </c>
    </row>
    <row r="3982" spans="1:5" x14ac:dyDescent="0.3">
      <c r="A3982" s="10">
        <v>273</v>
      </c>
      <c r="B3982" s="10">
        <v>70</v>
      </c>
      <c r="C3982" s="10" t="s">
        <v>26</v>
      </c>
      <c r="D3982" s="10" t="s">
        <v>1</v>
      </c>
      <c r="E3982" s="15">
        <f>5.252+3.093-0.651-6.907</f>
        <v>0.78699999999999903</v>
      </c>
    </row>
    <row r="3983" spans="1:5" x14ac:dyDescent="0.3">
      <c r="A3983" s="8">
        <v>273</v>
      </c>
      <c r="B3983" s="8">
        <v>70</v>
      </c>
      <c r="C3983" s="8" t="s">
        <v>200</v>
      </c>
      <c r="D3983" s="8" t="s">
        <v>1</v>
      </c>
      <c r="E3983" s="9">
        <v>10</v>
      </c>
    </row>
    <row r="3984" spans="1:5" x14ac:dyDescent="0.3">
      <c r="A3984" s="8">
        <v>273</v>
      </c>
      <c r="B3984" s="8">
        <v>70</v>
      </c>
      <c r="C3984" s="8">
        <v>35</v>
      </c>
      <c r="D3984" s="8" t="s">
        <v>1</v>
      </c>
      <c r="E3984" s="9">
        <v>10</v>
      </c>
    </row>
    <row r="3985" spans="1:5" x14ac:dyDescent="0.3">
      <c r="A3985" s="10">
        <v>273</v>
      </c>
      <c r="B3985" s="10">
        <v>70</v>
      </c>
      <c r="C3985" s="10">
        <v>45</v>
      </c>
      <c r="D3985" s="10" t="s">
        <v>1</v>
      </c>
      <c r="E3985" s="15">
        <f>5.634-0.115</f>
        <v>5.5190000000000001</v>
      </c>
    </row>
    <row r="3986" spans="1:5" x14ac:dyDescent="0.3">
      <c r="A3986" s="8">
        <v>273</v>
      </c>
      <c r="B3986" s="8">
        <v>70</v>
      </c>
      <c r="C3986" s="8" t="s">
        <v>28</v>
      </c>
      <c r="D3986" s="8" t="s">
        <v>1</v>
      </c>
      <c r="E3986" s="9">
        <v>5.67</v>
      </c>
    </row>
    <row r="3987" spans="1:5" x14ac:dyDescent="0.3">
      <c r="A3987" s="10">
        <v>273</v>
      </c>
      <c r="B3987" s="10">
        <v>70</v>
      </c>
      <c r="C3987" s="10" t="s">
        <v>30</v>
      </c>
      <c r="D3987" s="10" t="s">
        <v>1</v>
      </c>
      <c r="E3987" s="15">
        <f>5.685-2.845-0.559-0.076-0.158</f>
        <v>2.0469999999999993</v>
      </c>
    </row>
    <row r="3988" spans="1:5" x14ac:dyDescent="0.3">
      <c r="A3988" s="8">
        <v>273</v>
      </c>
      <c r="B3988" s="8">
        <v>70</v>
      </c>
      <c r="C3988" s="8" t="s">
        <v>30</v>
      </c>
      <c r="D3988" s="8" t="s">
        <v>1</v>
      </c>
      <c r="E3988" s="9">
        <v>10</v>
      </c>
    </row>
    <row r="3989" spans="1:5" x14ac:dyDescent="0.3">
      <c r="A3989" s="10">
        <v>273</v>
      </c>
      <c r="B3989" s="10">
        <v>75</v>
      </c>
      <c r="C3989" s="10">
        <v>45</v>
      </c>
      <c r="D3989" s="10" t="s">
        <v>1</v>
      </c>
      <c r="E3989" s="15">
        <f>2.738+3.024</f>
        <v>5.7620000000000005</v>
      </c>
    </row>
    <row r="3990" spans="1:5" x14ac:dyDescent="0.3">
      <c r="A3990" s="10">
        <v>273</v>
      </c>
      <c r="B3990" s="10">
        <v>80</v>
      </c>
      <c r="C3990" s="10">
        <v>20</v>
      </c>
      <c r="D3990" s="10" t="s">
        <v>1</v>
      </c>
      <c r="E3990" s="15">
        <f>3.1+6.166-0.097</f>
        <v>9.1690000000000005</v>
      </c>
    </row>
    <row r="3991" spans="1:5" x14ac:dyDescent="0.3">
      <c r="A3991" s="10">
        <v>273</v>
      </c>
      <c r="B3991" s="10">
        <v>80</v>
      </c>
      <c r="C3991" s="10">
        <v>45</v>
      </c>
      <c r="D3991" s="10" t="s">
        <v>1</v>
      </c>
      <c r="E3991" s="15">
        <f>3.022+6.046</f>
        <v>9.0679999999999996</v>
      </c>
    </row>
    <row r="3992" spans="1:5" x14ac:dyDescent="0.3">
      <c r="A3992" s="8">
        <v>273</v>
      </c>
      <c r="B3992" s="8">
        <v>80</v>
      </c>
      <c r="C3992" s="8" t="s">
        <v>28</v>
      </c>
      <c r="D3992" s="8" t="s">
        <v>1</v>
      </c>
      <c r="E3992" s="9">
        <v>5.32</v>
      </c>
    </row>
    <row r="3993" spans="1:5" x14ac:dyDescent="0.3">
      <c r="A3993" s="10">
        <v>280</v>
      </c>
      <c r="B3993" s="10">
        <v>48</v>
      </c>
      <c r="C3993" s="10" t="s">
        <v>28</v>
      </c>
      <c r="D3993" s="10" t="s">
        <v>1</v>
      </c>
      <c r="E3993" s="15">
        <f>6.104-0.138</f>
        <v>5.9660000000000002</v>
      </c>
    </row>
    <row r="3994" spans="1:5" x14ac:dyDescent="0.3">
      <c r="A3994" s="10">
        <v>289</v>
      </c>
      <c r="B3994" s="10">
        <v>40</v>
      </c>
      <c r="C3994" s="10" t="s">
        <v>28</v>
      </c>
      <c r="D3994" s="10" t="s">
        <v>1</v>
      </c>
      <c r="E3994" s="15">
        <f>6.182-0.442-0.224</f>
        <v>5.516</v>
      </c>
    </row>
    <row r="3995" spans="1:5" x14ac:dyDescent="0.3">
      <c r="A3995" s="10">
        <v>290</v>
      </c>
      <c r="B3995" s="10">
        <v>57</v>
      </c>
      <c r="C3995" s="10" t="s">
        <v>28</v>
      </c>
      <c r="D3995" s="10" t="s">
        <v>1</v>
      </c>
      <c r="E3995" s="15">
        <v>6.1040000000000001</v>
      </c>
    </row>
    <row r="3996" spans="1:5" x14ac:dyDescent="0.3">
      <c r="A3996" s="10">
        <v>299</v>
      </c>
      <c r="B3996" s="10">
        <v>8</v>
      </c>
      <c r="C3996" s="10">
        <v>20</v>
      </c>
      <c r="D3996" s="10" t="s">
        <v>1</v>
      </c>
      <c r="E3996" s="15">
        <f>1.141-0.018+2.034+0.594-0.594+1.197-0.119-0.597-0.028-1.2-0.234-0.617-0.089-0.262-0.061-0.032-0.061-0.059-0.061-0.176-0.037-0.297-0.062-0.12-0.041-0.107</f>
        <v>9.400000000000043E-2</v>
      </c>
    </row>
    <row r="3997" spans="1:5" x14ac:dyDescent="0.3">
      <c r="A3997" s="8">
        <v>299</v>
      </c>
      <c r="B3997" s="8">
        <v>8</v>
      </c>
      <c r="C3997" s="8">
        <v>20</v>
      </c>
      <c r="D3997" s="8" t="s">
        <v>1</v>
      </c>
      <c r="E3997" s="9">
        <f>1.236+0.512-0.126-0.064+0.532-0.055-0.039-0.033-0.123-0.123+2.674</f>
        <v>4.391</v>
      </c>
    </row>
    <row r="3998" spans="1:5" x14ac:dyDescent="0.3">
      <c r="A3998" s="8">
        <v>299</v>
      </c>
      <c r="B3998" s="8">
        <v>8</v>
      </c>
      <c r="C3998" s="8" t="s">
        <v>26</v>
      </c>
      <c r="D3998" s="8" t="s">
        <v>64</v>
      </c>
      <c r="E3998" s="9">
        <f>1.714+1.092-0.234-0.035+0.506-0.176-0.036-0.096+1.842-0.067-0.067-0.055-0.08</f>
        <v>4.3079999999999998</v>
      </c>
    </row>
    <row r="3999" spans="1:5" x14ac:dyDescent="0.3">
      <c r="A3999" s="8">
        <v>300</v>
      </c>
      <c r="B3999" s="8">
        <v>9</v>
      </c>
      <c r="C3999" s="8" t="s">
        <v>26</v>
      </c>
      <c r="D3999" s="8" t="s">
        <v>1</v>
      </c>
      <c r="E3999" s="9">
        <f>1.082-0.202-0.082-0.049-0.05</f>
        <v>0.69900000000000007</v>
      </c>
    </row>
    <row r="4000" spans="1:5" x14ac:dyDescent="0.3">
      <c r="A4000" s="8">
        <v>299</v>
      </c>
      <c r="B4000" s="8">
        <v>10</v>
      </c>
      <c r="C4000" s="8">
        <v>20</v>
      </c>
      <c r="D4000" s="8" t="s">
        <v>1</v>
      </c>
      <c r="E4000" s="9">
        <f>6.078-0.071-0.3-0.305-0.148-0.036-0.111-0.289-0.434-0.431-0.836-0.882-0.432-0.92-0.926+0.335-0.073-0.078-0.075-0.057+0.003</f>
        <v>1.2000000000002068E-2</v>
      </c>
    </row>
    <row r="4001" spans="1:5" x14ac:dyDescent="0.3">
      <c r="A4001" s="10">
        <v>299</v>
      </c>
      <c r="B4001" s="10">
        <v>10</v>
      </c>
      <c r="C4001" s="10">
        <v>20</v>
      </c>
      <c r="D4001" s="10" t="s">
        <v>1</v>
      </c>
      <c r="E4001" s="15">
        <f>2.094+0.68+1.386-0.042-0.023-0.739-0.042-0.151-0.028-0.242-0.408-0.315-0.176-0.095-0.043-0.12-0.081-0.045-0.081+0.455-0.179-2.004+0.233-0.021</f>
        <v>1.3000000000001722E-2</v>
      </c>
    </row>
    <row r="4002" spans="1:5" x14ac:dyDescent="0.3">
      <c r="A4002" s="10">
        <v>299</v>
      </c>
      <c r="B4002" s="10">
        <v>10</v>
      </c>
      <c r="C4002" s="10">
        <v>20</v>
      </c>
      <c r="D4002" s="10" t="s">
        <v>1</v>
      </c>
      <c r="E4002" s="15">
        <f>9.848-0.665-0.148-0.296-0.122-0.126-0.045</f>
        <v>8.4460000000000015</v>
      </c>
    </row>
    <row r="4003" spans="1:5" x14ac:dyDescent="0.3">
      <c r="A4003" s="10">
        <v>299</v>
      </c>
      <c r="B4003" s="10">
        <v>10</v>
      </c>
      <c r="C4003" s="10" t="s">
        <v>26</v>
      </c>
      <c r="D4003" s="10" t="s">
        <v>64</v>
      </c>
      <c r="E4003" s="15">
        <f>6.406-0.57-0.616</f>
        <v>5.22</v>
      </c>
    </row>
    <row r="4004" spans="1:5" x14ac:dyDescent="0.3">
      <c r="A4004" s="10">
        <v>299</v>
      </c>
      <c r="B4004" s="10">
        <v>11</v>
      </c>
      <c r="C4004" s="10" t="s">
        <v>26</v>
      </c>
      <c r="D4004" s="10" t="s">
        <v>1</v>
      </c>
      <c r="E4004" s="15">
        <f>5.9+5.239-0.669-0.134-0.044-0.054-0.086-0.167-0.108-0.086-0.086-0.168-0.058-0.022-0.249-0.395-0.034-0.068-0.095-0.25-0.103-0.019-0.248-7.35-0.037-0.103-0.086-0.175-0.038-0.217+0.079</f>
        <v>6.8999999999996384E-2</v>
      </c>
    </row>
    <row r="4005" spans="1:5" x14ac:dyDescent="0.3">
      <c r="A4005" s="8">
        <v>299</v>
      </c>
      <c r="B4005" s="8">
        <v>11</v>
      </c>
      <c r="C4005" s="8">
        <v>45</v>
      </c>
      <c r="D4005" s="8" t="s">
        <v>1</v>
      </c>
      <c r="E4005" s="9">
        <f>5.31-0.962-0.174-0.239-0.91-0.016+0.065-0.044-0.94-0.02-0.164-0.084-0.871</f>
        <v>0.9509999999999994</v>
      </c>
    </row>
    <row r="4006" spans="1:5" x14ac:dyDescent="0.3">
      <c r="A4006" s="8">
        <v>299</v>
      </c>
      <c r="B4006" s="8">
        <v>11</v>
      </c>
      <c r="C4006" s="13" t="s">
        <v>14</v>
      </c>
      <c r="D4006" s="8" t="s">
        <v>1</v>
      </c>
      <c r="E4006" s="9">
        <v>0.871</v>
      </c>
    </row>
    <row r="4007" spans="1:5" x14ac:dyDescent="0.3">
      <c r="A4007" s="10">
        <v>299</v>
      </c>
      <c r="B4007" s="10">
        <v>12</v>
      </c>
      <c r="C4007" s="10">
        <v>20</v>
      </c>
      <c r="D4007" s="10" t="s">
        <v>1</v>
      </c>
      <c r="E4007" s="15">
        <f>4.276+0.834-0.04-0.05-0.093-0.149-0.027-0.119-0.091-0.37-0.075-0.047-0.074-0.169-0.226-0.269-0.161-0.059-0.182-0.137-0.604-0.193-0.214-0.02-0.098-0.314-0.356-0.037-0.03-0.18-0.381-0.036-0.313+0.08-0.049</f>
        <v>2.6999999999999108E-2</v>
      </c>
    </row>
    <row r="4008" spans="1:5" x14ac:dyDescent="0.3">
      <c r="A4008" s="8">
        <v>299</v>
      </c>
      <c r="B4008" s="8">
        <v>12</v>
      </c>
      <c r="C4008" s="8">
        <v>20</v>
      </c>
      <c r="D4008" s="8" t="s">
        <v>1</v>
      </c>
      <c r="E4008" s="9">
        <v>5</v>
      </c>
    </row>
    <row r="4009" spans="1:5" x14ac:dyDescent="0.3">
      <c r="A4009" s="10">
        <v>299</v>
      </c>
      <c r="B4009" s="10">
        <v>12</v>
      </c>
      <c r="C4009" s="10" t="s">
        <v>26</v>
      </c>
      <c r="D4009" s="10" t="s">
        <v>1</v>
      </c>
      <c r="E4009" s="15">
        <f>0.96-0.262-0.524</f>
        <v>0.17399999999999993</v>
      </c>
    </row>
    <row r="4010" spans="1:5" x14ac:dyDescent="0.3">
      <c r="A4010" s="8">
        <v>299</v>
      </c>
      <c r="B4010" s="8">
        <v>12</v>
      </c>
      <c r="C4010" s="8" t="s">
        <v>26</v>
      </c>
      <c r="D4010" s="8" t="s">
        <v>64</v>
      </c>
      <c r="E4010" s="9">
        <v>5</v>
      </c>
    </row>
    <row r="4011" spans="1:5" x14ac:dyDescent="0.3">
      <c r="A4011" s="10">
        <v>299</v>
      </c>
      <c r="B4011" s="10">
        <v>14</v>
      </c>
      <c r="C4011" s="10">
        <v>20</v>
      </c>
      <c r="D4011" s="10" t="s">
        <v>1</v>
      </c>
      <c r="E4011" s="15">
        <f>4.241+0.784-0.21-0.283-1.06-0.363-0.057-0.261-0.098-0.211-0.119-0.32-0.216-0.428-0.026-0.322-0.252-0.058-0.057-0.108-0.108-0.107</f>
        <v>0.36099999999999965</v>
      </c>
    </row>
    <row r="4012" spans="1:5" x14ac:dyDescent="0.3">
      <c r="A4012" s="8">
        <v>299</v>
      </c>
      <c r="B4012" s="8">
        <v>14</v>
      </c>
      <c r="C4012" s="8">
        <v>20</v>
      </c>
      <c r="D4012" s="8" t="s">
        <v>1</v>
      </c>
      <c r="E4012" s="9">
        <v>5</v>
      </c>
    </row>
    <row r="4013" spans="1:5" x14ac:dyDescent="0.3">
      <c r="A4013" s="10">
        <v>299</v>
      </c>
      <c r="B4013" s="10">
        <v>14</v>
      </c>
      <c r="C4013" s="10" t="s">
        <v>26</v>
      </c>
      <c r="D4013" s="10" t="s">
        <v>1</v>
      </c>
      <c r="E4013" s="15">
        <f>3.966+0.92-1.022-0.124-0.31-0.372-0.144-0.095-0.147-0.036-0.67-0.103-0.106-0.392-0.106-0.065-0.309-0.029-0.412-0.04-0.106-0.286+0.05+1.006</f>
        <v>1.0679999999999998</v>
      </c>
    </row>
    <row r="4014" spans="1:5" x14ac:dyDescent="0.3">
      <c r="A4014" s="8">
        <v>299</v>
      </c>
      <c r="B4014" s="8">
        <v>14</v>
      </c>
      <c r="C4014" s="8" t="s">
        <v>26</v>
      </c>
      <c r="D4014" s="8" t="s">
        <v>64</v>
      </c>
      <c r="E4014" s="9">
        <v>5</v>
      </c>
    </row>
    <row r="4015" spans="1:5" x14ac:dyDescent="0.3">
      <c r="A4015" s="10">
        <v>299</v>
      </c>
      <c r="B4015" s="10">
        <v>14</v>
      </c>
      <c r="C4015" s="10" t="s">
        <v>28</v>
      </c>
      <c r="D4015" s="10" t="s">
        <v>1</v>
      </c>
      <c r="E4015" s="15">
        <v>5</v>
      </c>
    </row>
    <row r="4016" spans="1:5" x14ac:dyDescent="0.3">
      <c r="A4016" s="10">
        <v>299</v>
      </c>
      <c r="B4016" s="10">
        <v>14</v>
      </c>
      <c r="C4016" s="10" t="s">
        <v>30</v>
      </c>
      <c r="D4016" s="10" t="s">
        <v>1</v>
      </c>
      <c r="E4016" s="15">
        <v>1.0660000000000001</v>
      </c>
    </row>
    <row r="4017" spans="1:5" x14ac:dyDescent="0.3">
      <c r="A4017" s="10">
        <v>299</v>
      </c>
      <c r="B4017" s="10">
        <v>16</v>
      </c>
      <c r="C4017" s="10">
        <v>20</v>
      </c>
      <c r="D4017" s="10" t="s">
        <v>1</v>
      </c>
      <c r="E4017" s="15">
        <f>3.956+1.976-0.069-0.291-0.056-0.119-0.689-0.325-0.26-0.132+0.946-0.074-0.139-0.347-0.416-0.081-0.13-0.045-0.052-0.062-0.137-0.046-0.12-0.177-0.461-0.12-0.12-0.12-0.345-0.052-0.347-0.142-0.14-0.163-0.328-0.234-0.231-0.024-0.177-0.085+0.125</f>
        <v>0.14700000000000102</v>
      </c>
    </row>
    <row r="4018" spans="1:5" x14ac:dyDescent="0.3">
      <c r="A4018" s="8">
        <v>299</v>
      </c>
      <c r="B4018" s="8">
        <v>16</v>
      </c>
      <c r="C4018" s="8">
        <v>20</v>
      </c>
      <c r="D4018" s="8" t="s">
        <v>1</v>
      </c>
      <c r="E4018" s="9">
        <v>5</v>
      </c>
    </row>
    <row r="4019" spans="1:5" x14ac:dyDescent="0.3">
      <c r="A4019" s="8">
        <v>299</v>
      </c>
      <c r="B4019" s="8">
        <v>16</v>
      </c>
      <c r="C4019" s="8" t="s">
        <v>26</v>
      </c>
      <c r="D4019" s="8" t="s">
        <v>64</v>
      </c>
      <c r="E4019" s="9">
        <f>4.236-0.056-0.061-0.066-0.287-0.171-0.287-0.153-1.034</f>
        <v>2.1210000000000004</v>
      </c>
    </row>
    <row r="4020" spans="1:5" x14ac:dyDescent="0.3">
      <c r="A4020" s="8">
        <v>299</v>
      </c>
      <c r="B4020" s="8">
        <v>16</v>
      </c>
      <c r="C4020" s="8" t="s">
        <v>26</v>
      </c>
      <c r="D4020" s="8" t="s">
        <v>64</v>
      </c>
      <c r="E4020" s="9">
        <f>2.024-0.239-0.063</f>
        <v>1.7220000000000002</v>
      </c>
    </row>
    <row r="4021" spans="1:5" x14ac:dyDescent="0.3">
      <c r="A4021" s="10">
        <v>299</v>
      </c>
      <c r="B4021" s="10">
        <v>16</v>
      </c>
      <c r="C4021" s="10">
        <v>45</v>
      </c>
      <c r="D4021" s="10" t="s">
        <v>1</v>
      </c>
      <c r="E4021" s="15">
        <f>1.046-0.04-0.129+1.03-0.073-0.017-0.12</f>
        <v>1.6970000000000001</v>
      </c>
    </row>
    <row r="4022" spans="1:5" x14ac:dyDescent="0.3">
      <c r="A4022" s="10">
        <v>300</v>
      </c>
      <c r="B4022" s="10">
        <v>18</v>
      </c>
      <c r="C4022" s="10">
        <v>20</v>
      </c>
      <c r="D4022" s="10" t="s">
        <v>1</v>
      </c>
      <c r="E4022" s="15">
        <v>0.9</v>
      </c>
    </row>
    <row r="4023" spans="1:5" x14ac:dyDescent="0.3">
      <c r="A4023" s="10">
        <v>299</v>
      </c>
      <c r="B4023" s="10">
        <v>18</v>
      </c>
      <c r="C4023" s="10" t="s">
        <v>26</v>
      </c>
      <c r="D4023" s="10" t="s">
        <v>1</v>
      </c>
      <c r="E4023" s="15">
        <f>6.07-0.085-1.863-0.046-0.078-0.543-0.071-0.121-1.022-0.047-0.036-2.129+0.078</f>
        <v>0.10699999999999947</v>
      </c>
    </row>
    <row r="4024" spans="1:5" x14ac:dyDescent="0.3">
      <c r="A4024" s="8">
        <v>299</v>
      </c>
      <c r="B4024" s="8">
        <v>18</v>
      </c>
      <c r="C4024" s="8" t="s">
        <v>26</v>
      </c>
      <c r="D4024" s="8" t="s">
        <v>64</v>
      </c>
      <c r="E4024" s="9">
        <v>5</v>
      </c>
    </row>
    <row r="4025" spans="1:5" x14ac:dyDescent="0.3">
      <c r="A4025" s="8">
        <v>299</v>
      </c>
      <c r="B4025" s="8">
        <v>18</v>
      </c>
      <c r="C4025" s="8">
        <v>35</v>
      </c>
      <c r="D4025" s="8" t="s">
        <v>1</v>
      </c>
      <c r="E4025" s="9">
        <v>5</v>
      </c>
    </row>
    <row r="4026" spans="1:5" x14ac:dyDescent="0.3">
      <c r="A4026" s="8">
        <v>299</v>
      </c>
      <c r="B4026" s="8">
        <v>20</v>
      </c>
      <c r="C4026" s="8">
        <v>20</v>
      </c>
      <c r="D4026" s="8" t="s">
        <v>1</v>
      </c>
      <c r="E4026" s="9">
        <v>5</v>
      </c>
    </row>
    <row r="4027" spans="1:5" x14ac:dyDescent="0.3">
      <c r="A4027" s="8">
        <v>299</v>
      </c>
      <c r="B4027" s="8">
        <v>20</v>
      </c>
      <c r="C4027" s="8" t="s">
        <v>26</v>
      </c>
      <c r="D4027" s="8" t="s">
        <v>64</v>
      </c>
      <c r="E4027" s="9">
        <f>19.944-1.035-0.418-0.678-0.418-0.021-0.568-0.28-0.076-0.144-0.322-0.419-0.199</f>
        <v>15.365999999999998</v>
      </c>
    </row>
    <row r="4028" spans="1:5" x14ac:dyDescent="0.3">
      <c r="A4028" s="8">
        <v>299</v>
      </c>
      <c r="B4028" s="8">
        <v>20</v>
      </c>
      <c r="C4028" s="8" t="s">
        <v>26</v>
      </c>
      <c r="D4028" s="8" t="s">
        <v>64</v>
      </c>
      <c r="E4028" s="9">
        <v>3.23</v>
      </c>
    </row>
    <row r="4029" spans="1:5" x14ac:dyDescent="0.3">
      <c r="A4029" s="10">
        <v>299</v>
      </c>
      <c r="B4029" s="10">
        <v>20</v>
      </c>
      <c r="C4029" s="10">
        <v>45</v>
      </c>
      <c r="D4029" s="10" t="s">
        <v>1</v>
      </c>
      <c r="E4029" s="15">
        <f>4.798-0.083-0.144-0.254-0.255-0.211-0.655-0.089-0.061</f>
        <v>3.0460000000000007</v>
      </c>
    </row>
    <row r="4030" spans="1:5" x14ac:dyDescent="0.3">
      <c r="A4030" s="10">
        <v>299</v>
      </c>
      <c r="B4030" s="10">
        <v>20</v>
      </c>
      <c r="C4030" s="10" t="s">
        <v>28</v>
      </c>
      <c r="D4030" s="10" t="s">
        <v>1</v>
      </c>
      <c r="E4030" s="15">
        <f>10.191-0.061-0.054-0.24-0.148-1.618-0.064-0.149</f>
        <v>7.8570000000000002</v>
      </c>
    </row>
    <row r="4031" spans="1:5" x14ac:dyDescent="0.3">
      <c r="A4031" s="8">
        <v>299</v>
      </c>
      <c r="B4031" s="8">
        <v>20</v>
      </c>
      <c r="C4031" s="8" t="s">
        <v>30</v>
      </c>
      <c r="D4031" s="8" t="s">
        <v>1</v>
      </c>
      <c r="E4031" s="9">
        <v>10</v>
      </c>
    </row>
    <row r="4032" spans="1:5" x14ac:dyDescent="0.3">
      <c r="A4032" s="10">
        <v>299</v>
      </c>
      <c r="B4032" s="10">
        <v>22</v>
      </c>
      <c r="C4032" s="10">
        <v>35</v>
      </c>
      <c r="D4032" s="10" t="s">
        <v>1</v>
      </c>
      <c r="E4032" s="15">
        <f>4.876-0.323-0.167-1.207-1.228-0.088-0.088</f>
        <v>1.7750000000000001</v>
      </c>
    </row>
    <row r="4033" spans="1:5" x14ac:dyDescent="0.3">
      <c r="A4033" s="10">
        <v>299</v>
      </c>
      <c r="B4033" s="10">
        <v>25</v>
      </c>
      <c r="C4033" s="10">
        <v>20</v>
      </c>
      <c r="D4033" s="10" t="s">
        <v>1</v>
      </c>
      <c r="E4033" s="15">
        <f>12.519-0.093-0.034-1.395-0.146-1.409-0.049-0.236-0.541-0.275-0.032-0.118-0.376-0.03-0.049-0.287-0.167-0.483-0.062-0.271-0.92-0.091-0.254-0.053-0.028-0.03-0.925-0.086-0.149-0.111-0.104-0.236-0.055-0.658-0.2-0.069-0.532-0.364-0.238-0.201-0.06-0.242+5.014-0.095-0.317</f>
        <v>5.4619999999999971</v>
      </c>
    </row>
    <row r="4034" spans="1:5" x14ac:dyDescent="0.3">
      <c r="A4034" s="10">
        <v>299</v>
      </c>
      <c r="B4034" s="10">
        <v>25</v>
      </c>
      <c r="C4034" s="10" t="s">
        <v>26</v>
      </c>
      <c r="D4034" s="10" t="s">
        <v>1</v>
      </c>
      <c r="E4034" s="15">
        <f>1.44+18.375-0.175-0.345-1.472-0.092-4.481-0.068-0.122-0.737-1.605-0.284-0.262-0.031-0.86-0.179-0.321-0.518-0.535-0.094-0.349-0.26-0.06-0.624-0.109-0.568-0.177</f>
        <v>5.487000000000001</v>
      </c>
    </row>
    <row r="4035" spans="1:5" x14ac:dyDescent="0.3">
      <c r="A4035" s="10">
        <v>299</v>
      </c>
      <c r="B4035" s="10">
        <v>25</v>
      </c>
      <c r="C4035" s="10">
        <v>35</v>
      </c>
      <c r="D4035" s="10" t="s">
        <v>1</v>
      </c>
      <c r="E4035" s="15">
        <f>4.965-0.729-0.09-0.222-0.625-0.222-0.313</f>
        <v>2.7639999999999998</v>
      </c>
    </row>
    <row r="4036" spans="1:5" x14ac:dyDescent="0.3">
      <c r="A4036" s="10">
        <v>299</v>
      </c>
      <c r="B4036" s="10">
        <v>25</v>
      </c>
      <c r="C4036" s="10">
        <v>45</v>
      </c>
      <c r="D4036" s="10" t="s">
        <v>1</v>
      </c>
      <c r="E4036" s="15">
        <v>5.4379999999999997</v>
      </c>
    </row>
    <row r="4037" spans="1:5" x14ac:dyDescent="0.3">
      <c r="A4037" s="10">
        <v>299</v>
      </c>
      <c r="B4037" s="10">
        <v>25</v>
      </c>
      <c r="C4037" s="10" t="s">
        <v>28</v>
      </c>
      <c r="D4037" s="10" t="s">
        <v>1</v>
      </c>
      <c r="E4037" s="15">
        <f>6.119+1.663+1.922+1.556-0.096-0.264+0.006-0.467-0.737-1.663-0.092-2.002-0.213-1.62-0.051-0.311-1.666+1.692+1.836+1.812-0.23-0.162-0.515-0.381-0.102-0.226-0.209-0.296-0.121-0.228-1.241-1.029</f>
        <v>2.6840000000000024</v>
      </c>
    </row>
    <row r="4038" spans="1:5" x14ac:dyDescent="0.3">
      <c r="A4038" s="8">
        <v>299</v>
      </c>
      <c r="B4038" s="8">
        <v>25</v>
      </c>
      <c r="C4038" s="8" t="s">
        <v>30</v>
      </c>
      <c r="D4038" s="8" t="s">
        <v>1</v>
      </c>
      <c r="E4038" s="9">
        <v>10</v>
      </c>
    </row>
    <row r="4039" spans="1:5" x14ac:dyDescent="0.3">
      <c r="A4039" s="10">
        <v>299</v>
      </c>
      <c r="B4039" s="10">
        <v>28</v>
      </c>
      <c r="C4039" s="10" t="s">
        <v>26</v>
      </c>
      <c r="D4039" s="10" t="s">
        <v>1</v>
      </c>
      <c r="E4039" s="15">
        <f>1.954+9.782-3.934-0.104-0.583-0.582-0.085-0.202-0.106-0.583-0.143-1.96-0.198-0.363-0.071-2.1-0.2-0.108-0.144+5.648</f>
        <v>5.9180000000000001</v>
      </c>
    </row>
    <row r="4040" spans="1:5" x14ac:dyDescent="0.3">
      <c r="A4040" s="10">
        <v>299</v>
      </c>
      <c r="B4040" s="10">
        <v>28</v>
      </c>
      <c r="C4040" s="10">
        <v>35</v>
      </c>
      <c r="D4040" s="10" t="s">
        <v>1</v>
      </c>
      <c r="E4040" s="15">
        <f>4.372+2.105-4.376-0.23+2.108-2.108-0.487-0.062-0.059-0.121-0.192-0.196-0.04</f>
        <v>0.71399999999999997</v>
      </c>
    </row>
    <row r="4041" spans="1:5" x14ac:dyDescent="0.3">
      <c r="A4041" s="10">
        <v>299</v>
      </c>
      <c r="B4041" s="10">
        <v>28</v>
      </c>
      <c r="C4041" s="10" t="s">
        <v>28</v>
      </c>
      <c r="D4041" s="10" t="s">
        <v>1</v>
      </c>
      <c r="E4041" s="15">
        <f>8.49+1.52-0.856</f>
        <v>9.1539999999999999</v>
      </c>
    </row>
    <row r="4042" spans="1:5" x14ac:dyDescent="0.3">
      <c r="A4042" s="8">
        <v>299</v>
      </c>
      <c r="B4042" s="8">
        <v>30</v>
      </c>
      <c r="C4042" s="8">
        <v>20</v>
      </c>
      <c r="D4042" s="8" t="s">
        <v>1</v>
      </c>
      <c r="E4042" s="9">
        <v>5</v>
      </c>
    </row>
    <row r="4043" spans="1:5" x14ac:dyDescent="0.3">
      <c r="A4043" s="10">
        <v>299</v>
      </c>
      <c r="B4043" s="10">
        <v>30</v>
      </c>
      <c r="C4043" s="10" t="s">
        <v>26</v>
      </c>
      <c r="D4043" s="10" t="s">
        <v>1</v>
      </c>
      <c r="E4043" s="15">
        <f>2.014+1.792+8.154-0.233+0.153-0.051-0.41-0.233-0.896-0.273-0.053-0.047-0.424-0.111-1.13-0.107-1.929-0.071-0.113-0.212-0.212</f>
        <v>5.6079999999999997</v>
      </c>
    </row>
    <row r="4044" spans="1:5" x14ac:dyDescent="0.3">
      <c r="A4044" s="8">
        <v>299</v>
      </c>
      <c r="B4044" s="8">
        <v>30</v>
      </c>
      <c r="C4044" s="8">
        <v>35</v>
      </c>
      <c r="D4044" s="8" t="s">
        <v>1</v>
      </c>
      <c r="E4044" s="9">
        <v>5</v>
      </c>
    </row>
    <row r="4045" spans="1:5" x14ac:dyDescent="0.3">
      <c r="A4045" s="8">
        <v>299</v>
      </c>
      <c r="B4045" s="8">
        <v>30</v>
      </c>
      <c r="C4045" s="8">
        <v>45</v>
      </c>
      <c r="D4045" s="8" t="s">
        <v>1</v>
      </c>
      <c r="E4045" s="9">
        <v>5</v>
      </c>
    </row>
    <row r="4046" spans="1:5" x14ac:dyDescent="0.3">
      <c r="A4046" s="8">
        <v>299</v>
      </c>
      <c r="B4046" s="8">
        <v>30</v>
      </c>
      <c r="C4046" s="8">
        <v>45</v>
      </c>
      <c r="D4046" s="8" t="s">
        <v>1</v>
      </c>
      <c r="E4046" s="9">
        <v>5</v>
      </c>
    </row>
    <row r="4047" spans="1:5" x14ac:dyDescent="0.3">
      <c r="A4047" s="10">
        <v>299</v>
      </c>
      <c r="B4047" s="10">
        <v>30</v>
      </c>
      <c r="C4047" s="10" t="s">
        <v>37</v>
      </c>
      <c r="D4047" s="10" t="s">
        <v>1</v>
      </c>
      <c r="E4047" s="15">
        <f>2.891+1.376-0.708-0.407-0.266-0.11-0.246-0.487-0.088-0.399-0.308</f>
        <v>1.2479999999999991</v>
      </c>
    </row>
    <row r="4048" spans="1:5" x14ac:dyDescent="0.3">
      <c r="A4048" s="10">
        <v>299</v>
      </c>
      <c r="B4048" s="10">
        <v>30</v>
      </c>
      <c r="C4048" s="10" t="s">
        <v>28</v>
      </c>
      <c r="D4048" s="10" t="s">
        <v>1</v>
      </c>
      <c r="E4048" s="15">
        <f>6.04-0.61-1.291-0.488-2.106+10.822-0.208-0.1-2.288</f>
        <v>9.770999999999999</v>
      </c>
    </row>
    <row r="4049" spans="1:5" x14ac:dyDescent="0.3">
      <c r="A4049" s="10">
        <v>299</v>
      </c>
      <c r="B4049" s="10">
        <v>30</v>
      </c>
      <c r="C4049" s="10" t="s">
        <v>30</v>
      </c>
      <c r="D4049" s="10" t="s">
        <v>1</v>
      </c>
      <c r="E4049" s="15">
        <f>8.228-0.31-0.09-0.27-0.09-0.208</f>
        <v>7.26</v>
      </c>
    </row>
    <row r="4050" spans="1:5" x14ac:dyDescent="0.3">
      <c r="A4050" s="10">
        <v>299</v>
      </c>
      <c r="B4050" s="10">
        <v>32</v>
      </c>
      <c r="C4050" s="10">
        <v>20</v>
      </c>
      <c r="D4050" s="10" t="s">
        <v>1</v>
      </c>
      <c r="E4050" s="15">
        <f>10.616-0.47-0.239-0.169-1.522-0.084-0.575-0.075-0.991-0.143-0.14-0.073-1.83-0.055-0.084+1.865+2.014-0.077-0.06-0.167-0.228-0.053-0.075-0.226-3.05-0.099-0.097-0.226-0.226-1.45-0.075-0.035-0.188-0.228</f>
        <v>1.4849999999999994</v>
      </c>
    </row>
    <row r="4051" spans="1:5" x14ac:dyDescent="0.3">
      <c r="A4051" s="8">
        <v>299</v>
      </c>
      <c r="B4051" s="8">
        <v>32</v>
      </c>
      <c r="C4051" s="8">
        <v>20</v>
      </c>
      <c r="D4051" s="8" t="s">
        <v>1</v>
      </c>
      <c r="E4051" s="9">
        <v>10</v>
      </c>
    </row>
    <row r="4052" spans="1:5" x14ac:dyDescent="0.3">
      <c r="A4052" s="10">
        <v>299</v>
      </c>
      <c r="B4052" s="10">
        <v>32</v>
      </c>
      <c r="C4052" s="10" t="s">
        <v>26</v>
      </c>
      <c r="D4052" s="10" t="s">
        <v>1</v>
      </c>
      <c r="E4052" s="15">
        <f>8.056+2.034-0.223-0.223-0.149-0.646-0.286-0.642-1.396-0.222-0.208-0.221-0.075</f>
        <v>5.7989999999999977</v>
      </c>
    </row>
    <row r="4053" spans="1:5" x14ac:dyDescent="0.3">
      <c r="A4053" s="10">
        <v>299</v>
      </c>
      <c r="B4053" s="10">
        <v>32</v>
      </c>
      <c r="C4053" s="10">
        <v>35</v>
      </c>
      <c r="D4053" s="10" t="s">
        <v>1</v>
      </c>
      <c r="E4053" s="15">
        <f>6.768-4.575-0.116-0.119-0.162</f>
        <v>1.7959999999999996</v>
      </c>
    </row>
    <row r="4054" spans="1:5" x14ac:dyDescent="0.3">
      <c r="A4054" s="10">
        <v>299</v>
      </c>
      <c r="B4054" s="10">
        <v>32</v>
      </c>
      <c r="C4054" s="10">
        <v>45</v>
      </c>
      <c r="D4054" s="10" t="s">
        <v>1</v>
      </c>
      <c r="E4054" s="15">
        <f>11.062-0.119-0.444-0.119-0.119-1.075-0.87-0.061-1.354-0.098-0.193-0.658-0.044-0.188-0.119-1.025-0.074-0.225-0.271-2.311-0.202-0.141-0.606-0.223-0.074</f>
        <v>0.44900000000000301</v>
      </c>
    </row>
    <row r="4055" spans="1:5" x14ac:dyDescent="0.3">
      <c r="A4055" s="8">
        <v>299</v>
      </c>
      <c r="B4055" s="8">
        <v>32</v>
      </c>
      <c r="C4055" s="8">
        <v>45</v>
      </c>
      <c r="D4055" s="8" t="s">
        <v>1</v>
      </c>
      <c r="E4055" s="9">
        <v>5</v>
      </c>
    </row>
    <row r="4056" spans="1:5" x14ac:dyDescent="0.3">
      <c r="A4056" s="8">
        <v>299</v>
      </c>
      <c r="B4056" s="8">
        <v>32</v>
      </c>
      <c r="C4056" s="8" t="s">
        <v>28</v>
      </c>
      <c r="D4056" s="8" t="s">
        <v>1</v>
      </c>
      <c r="E4056" s="9">
        <v>6.6180000000000003</v>
      </c>
    </row>
    <row r="4057" spans="1:5" x14ac:dyDescent="0.3">
      <c r="A4057" s="8">
        <v>299</v>
      </c>
      <c r="B4057" s="8">
        <v>32</v>
      </c>
      <c r="C4057" s="8" t="s">
        <v>30</v>
      </c>
      <c r="D4057" s="8" t="s">
        <v>1</v>
      </c>
      <c r="E4057" s="9">
        <v>5</v>
      </c>
    </row>
    <row r="4058" spans="1:5" x14ac:dyDescent="0.3">
      <c r="A4058" s="10">
        <v>299</v>
      </c>
      <c r="B4058" s="10">
        <v>36</v>
      </c>
      <c r="C4058" s="10">
        <v>20</v>
      </c>
      <c r="D4058" s="10" t="s">
        <v>1</v>
      </c>
      <c r="E4058" s="15">
        <f>11.246-0.057-0.245-0.198-0.127-0.224-0.245-0.097-0.292-0.266</f>
        <v>9.495000000000001</v>
      </c>
    </row>
    <row r="4059" spans="1:5" x14ac:dyDescent="0.3">
      <c r="A4059" s="10">
        <v>299</v>
      </c>
      <c r="B4059" s="10">
        <v>36</v>
      </c>
      <c r="C4059" s="10" t="s">
        <v>26</v>
      </c>
      <c r="D4059" s="10" t="s">
        <v>1</v>
      </c>
      <c r="E4059" s="15">
        <f>19.477-2.357-0.249-0.046-0.39-0.251-0.605-2.422-0.106+9.905-0.294-1.202-0.426-12.345-0.855-0.067-1.202-0.485-3.475-0.246-0.249-0.655-0.07+2.159+14.956-0.199-0.215-0.048-0.251-0.106-0.251-0.349-2.121-1.562-6.504-1.358-0.785-0.499-0.251-0.363-0.223-0.084-0.085-0.129-0.485</f>
        <v>2.6319999999999961</v>
      </c>
    </row>
    <row r="4060" spans="1:5" x14ac:dyDescent="0.3">
      <c r="A4060" s="8">
        <v>299</v>
      </c>
      <c r="B4060" s="8">
        <v>36</v>
      </c>
      <c r="C4060" s="8" t="s">
        <v>26</v>
      </c>
      <c r="D4060" s="8" t="s">
        <v>1</v>
      </c>
      <c r="E4060" s="9">
        <v>10.614000000000001</v>
      </c>
    </row>
    <row r="4061" spans="1:5" x14ac:dyDescent="0.3">
      <c r="A4061" s="10">
        <v>299</v>
      </c>
      <c r="B4061" s="10">
        <v>36</v>
      </c>
      <c r="C4061" s="10">
        <v>35</v>
      </c>
      <c r="D4061" s="10" t="s">
        <v>1</v>
      </c>
      <c r="E4061" s="15">
        <f>18.878+2.064-8.736+21.65+16.85+12.034+14.823-2.138-0.521-2.584-1.665</f>
        <v>70.654999999999973</v>
      </c>
    </row>
    <row r="4062" spans="1:5" x14ac:dyDescent="0.3">
      <c r="A4062" s="10">
        <v>299</v>
      </c>
      <c r="B4062" s="10">
        <v>36</v>
      </c>
      <c r="C4062" s="10">
        <v>45</v>
      </c>
      <c r="D4062" s="10" t="s">
        <v>1</v>
      </c>
      <c r="E4062" s="15">
        <f>19.495-0.352-0.127-0.05-0.799-0.05-0.107-2.43-0.267-2.426-0.65-0.747-0.06-0.252-0.417-0.105-0.859-0.153-0.131-0.053-0.488</f>
        <v>8.9719999999999995</v>
      </c>
    </row>
    <row r="4063" spans="1:5" x14ac:dyDescent="0.3">
      <c r="A4063" s="10">
        <v>299</v>
      </c>
      <c r="B4063" s="10">
        <v>36</v>
      </c>
      <c r="C4063" s="10" t="s">
        <v>28</v>
      </c>
      <c r="D4063" s="10" t="s">
        <v>1</v>
      </c>
      <c r="E4063" s="15">
        <v>19.738</v>
      </c>
    </row>
    <row r="4064" spans="1:5" x14ac:dyDescent="0.3">
      <c r="A4064" s="8">
        <v>299</v>
      </c>
      <c r="B4064" s="8">
        <v>36</v>
      </c>
      <c r="C4064" s="8" t="s">
        <v>30</v>
      </c>
      <c r="D4064" s="8" t="s">
        <v>1</v>
      </c>
      <c r="E4064" s="9">
        <v>10</v>
      </c>
    </row>
    <row r="4065" spans="1:5" x14ac:dyDescent="0.3">
      <c r="A4065" s="8">
        <v>299</v>
      </c>
      <c r="B4065" s="8">
        <v>36</v>
      </c>
      <c r="C4065" s="8" t="s">
        <v>106</v>
      </c>
      <c r="D4065" s="8" t="s">
        <v>1</v>
      </c>
      <c r="E4065" s="9">
        <v>5.8040000000000003</v>
      </c>
    </row>
    <row r="4066" spans="1:5" x14ac:dyDescent="0.3">
      <c r="A4066" s="10">
        <v>299</v>
      </c>
      <c r="B4066" s="10">
        <v>40</v>
      </c>
      <c r="C4066" s="10">
        <v>20</v>
      </c>
      <c r="D4066" s="10" t="s">
        <v>1</v>
      </c>
      <c r="E4066" s="15">
        <f>10.231-2.245-0.291-0.163-0.194-1.99-0.289-0.335+2.208-0.631+7.374-0.858-0.291-2.781-0.064-0.117-0.172-0.119-0.077-0.14-0.122</f>
        <v>8.9339999999999957</v>
      </c>
    </row>
    <row r="4067" spans="1:5" x14ac:dyDescent="0.3">
      <c r="A4067" s="8">
        <v>299</v>
      </c>
      <c r="B4067" s="8">
        <v>40</v>
      </c>
      <c r="C4067" s="8" t="s">
        <v>26</v>
      </c>
      <c r="D4067" s="8" t="s">
        <v>64</v>
      </c>
      <c r="E4067" s="9">
        <f>12.656-4.122-1.017-0.078-3.24-0.175</f>
        <v>4.0240000000000009</v>
      </c>
    </row>
    <row r="4068" spans="1:5" x14ac:dyDescent="0.3">
      <c r="A4068" s="8">
        <v>299</v>
      </c>
      <c r="B4068" s="8">
        <v>40</v>
      </c>
      <c r="C4068" s="8" t="s">
        <v>26</v>
      </c>
      <c r="D4068" s="8" t="s">
        <v>1</v>
      </c>
      <c r="E4068" s="9">
        <v>10.727</v>
      </c>
    </row>
    <row r="4069" spans="1:5" x14ac:dyDescent="0.3">
      <c r="A4069" s="10">
        <v>299</v>
      </c>
      <c r="B4069" s="10">
        <v>40</v>
      </c>
      <c r="C4069" s="10" t="s">
        <v>65</v>
      </c>
      <c r="D4069" s="10" t="s">
        <v>78</v>
      </c>
      <c r="E4069" s="15">
        <f>6.119-0.162</f>
        <v>5.9569999999999999</v>
      </c>
    </row>
    <row r="4070" spans="1:5" x14ac:dyDescent="0.3">
      <c r="A4070" s="10">
        <v>299</v>
      </c>
      <c r="B4070" s="10">
        <v>40</v>
      </c>
      <c r="C4070" s="10">
        <v>35</v>
      </c>
      <c r="D4070" s="10" t="s">
        <v>1</v>
      </c>
      <c r="E4070" s="15">
        <f>10.842-0.126-2.681-2.575-0.4-0.394-1.943-0.206-0.628+6.654</f>
        <v>8.5429999999999993</v>
      </c>
    </row>
    <row r="4071" spans="1:5" x14ac:dyDescent="0.3">
      <c r="A4071" s="10">
        <v>299</v>
      </c>
      <c r="B4071" s="10">
        <v>40</v>
      </c>
      <c r="C4071" s="10">
        <v>45</v>
      </c>
      <c r="D4071" s="10" t="s">
        <v>1</v>
      </c>
      <c r="E4071" s="15">
        <f>11.279-0.316-2.37-0.142</f>
        <v>8.4510000000000005</v>
      </c>
    </row>
    <row r="4072" spans="1:5" x14ac:dyDescent="0.3">
      <c r="A4072" s="10">
        <v>299</v>
      </c>
      <c r="B4072" s="10">
        <v>40</v>
      </c>
      <c r="C4072" s="10" t="s">
        <v>28</v>
      </c>
      <c r="D4072" s="10" t="s">
        <v>1</v>
      </c>
      <c r="E4072" s="15">
        <f>9.99-0.119-0.104-0.194-5.161</f>
        <v>4.4120000000000008</v>
      </c>
    </row>
    <row r="4073" spans="1:5" x14ac:dyDescent="0.3">
      <c r="A4073" s="8">
        <v>299</v>
      </c>
      <c r="B4073" s="8">
        <v>40</v>
      </c>
      <c r="C4073" s="8" t="s">
        <v>30</v>
      </c>
      <c r="D4073" s="8" t="s">
        <v>1</v>
      </c>
      <c r="E4073" s="9">
        <v>5</v>
      </c>
    </row>
    <row r="4074" spans="1:5" x14ac:dyDescent="0.3">
      <c r="A4074" s="8">
        <v>299</v>
      </c>
      <c r="B4074" s="8">
        <v>45</v>
      </c>
      <c r="C4074" s="8">
        <v>20</v>
      </c>
      <c r="D4074" s="8" t="s">
        <v>1</v>
      </c>
      <c r="E4074" s="9">
        <f>2.13+8.216+2.39-2.152-0.101-0.213-0.588-1.5-0.115-0.201-0.141-0.142-0.588-0.046-0.084-0.497+6.206</f>
        <v>12.574000000000002</v>
      </c>
    </row>
    <row r="4075" spans="1:5" x14ac:dyDescent="0.3">
      <c r="A4075" s="10">
        <v>299</v>
      </c>
      <c r="B4075" s="10">
        <v>45</v>
      </c>
      <c r="C4075" s="10" t="s">
        <v>26</v>
      </c>
      <c r="D4075" s="10" t="s">
        <v>1</v>
      </c>
      <c r="E4075" s="15">
        <f>5.02+5.215</f>
        <v>10.234999999999999</v>
      </c>
    </row>
    <row r="4076" spans="1:5" x14ac:dyDescent="0.3">
      <c r="A4076" s="10">
        <v>299</v>
      </c>
      <c r="B4076" s="10">
        <v>45</v>
      </c>
      <c r="C4076" s="10">
        <v>35</v>
      </c>
      <c r="D4076" s="10" t="s">
        <v>1</v>
      </c>
      <c r="E4076" s="15">
        <f>12.571-0.744-0.741-1.041-0.609-0.078-0.126+2.204-0.769-0.581-0.669-0.666-0.586-0.086-0.183</f>
        <v>7.8960000000000008</v>
      </c>
    </row>
    <row r="4077" spans="1:5" x14ac:dyDescent="0.3">
      <c r="A4077" s="8">
        <v>299</v>
      </c>
      <c r="B4077" s="8">
        <v>45</v>
      </c>
      <c r="C4077" s="8">
        <v>45</v>
      </c>
      <c r="D4077" s="8" t="s">
        <v>1</v>
      </c>
      <c r="E4077" s="9">
        <v>10</v>
      </c>
    </row>
    <row r="4078" spans="1:5" x14ac:dyDescent="0.3">
      <c r="A4078" s="8">
        <v>299</v>
      </c>
      <c r="B4078" s="8">
        <v>45</v>
      </c>
      <c r="C4078" s="8" t="s">
        <v>28</v>
      </c>
      <c r="D4078" s="8" t="s">
        <v>1</v>
      </c>
      <c r="E4078" s="9">
        <v>9.6940000000000008</v>
      </c>
    </row>
    <row r="4079" spans="1:5" x14ac:dyDescent="0.3">
      <c r="A4079" s="10">
        <v>299</v>
      </c>
      <c r="B4079" s="10">
        <v>45</v>
      </c>
      <c r="C4079" s="10" t="s">
        <v>24</v>
      </c>
      <c r="D4079" s="10" t="s">
        <v>1</v>
      </c>
      <c r="E4079" s="15">
        <f>19.51+11.656</f>
        <v>31.166000000000004</v>
      </c>
    </row>
    <row r="4080" spans="1:5" x14ac:dyDescent="0.3">
      <c r="A4080" s="8">
        <v>299</v>
      </c>
      <c r="B4080" s="8">
        <v>45</v>
      </c>
      <c r="C4080" s="8" t="s">
        <v>30</v>
      </c>
      <c r="D4080" s="8" t="s">
        <v>1</v>
      </c>
      <c r="E4080" s="9">
        <v>10</v>
      </c>
    </row>
    <row r="4081" spans="1:5" x14ac:dyDescent="0.3">
      <c r="A4081" s="8">
        <v>299</v>
      </c>
      <c r="B4081" s="8">
        <v>45</v>
      </c>
      <c r="C4081" s="8" t="s">
        <v>106</v>
      </c>
      <c r="D4081" s="8" t="s">
        <v>1</v>
      </c>
      <c r="E4081" s="9">
        <f>1.839+3.696</f>
        <v>5.5350000000000001</v>
      </c>
    </row>
    <row r="4082" spans="1:5" x14ac:dyDescent="0.3">
      <c r="A4082" s="8">
        <v>299</v>
      </c>
      <c r="B4082" s="8">
        <v>45</v>
      </c>
      <c r="C4082" s="8" t="s">
        <v>106</v>
      </c>
      <c r="D4082" s="8" t="s">
        <v>1</v>
      </c>
      <c r="E4082" s="9">
        <f>5.535-3.696</f>
        <v>1.839</v>
      </c>
    </row>
    <row r="4083" spans="1:5" x14ac:dyDescent="0.3">
      <c r="A4083" s="10">
        <v>299</v>
      </c>
      <c r="B4083" s="10">
        <v>50</v>
      </c>
      <c r="C4083" s="10">
        <v>20</v>
      </c>
      <c r="D4083" s="10" t="s">
        <v>1</v>
      </c>
      <c r="E4083" s="15">
        <f>2.762+5.54-0.798-2.778-0.201-0.072-0.266-0.157-0.488-0.165-0.654+8.244-0.335+2.106-0.485-0.485-0.094-2.181-0.551-0.485-0.173-1.524-0.079-0.263-0.169-0.363-0.138-0.119-0.076-0.485-0.404</f>
        <v>4.6639999999999997</v>
      </c>
    </row>
    <row r="4084" spans="1:5" x14ac:dyDescent="0.3">
      <c r="A4084" s="8">
        <v>299</v>
      </c>
      <c r="B4084" s="8">
        <v>50</v>
      </c>
      <c r="C4084" s="8">
        <v>20</v>
      </c>
      <c r="D4084" s="8" t="s">
        <v>1</v>
      </c>
      <c r="E4084" s="9">
        <v>10</v>
      </c>
    </row>
    <row r="4085" spans="1:5" x14ac:dyDescent="0.3">
      <c r="A4085" s="10">
        <v>299</v>
      </c>
      <c r="B4085" s="10">
        <v>50</v>
      </c>
      <c r="C4085" s="10" t="s">
        <v>26</v>
      </c>
      <c r="D4085" s="10" t="s">
        <v>1</v>
      </c>
      <c r="E4085" s="15">
        <f>11.258-2.258-0.244-2.289-1.725-0.225-2.386-0.796+11.576-0.418-0.465-0.39-1.877-1.965-0.213-0.658-0.231</f>
        <v>6.6940000000000008</v>
      </c>
    </row>
    <row r="4086" spans="1:5" x14ac:dyDescent="0.3">
      <c r="A4086" s="10">
        <v>299</v>
      </c>
      <c r="B4086" s="10">
        <v>50</v>
      </c>
      <c r="C4086" s="10">
        <v>45</v>
      </c>
      <c r="D4086" s="10" t="s">
        <v>1</v>
      </c>
      <c r="E4086" s="15">
        <f>11.918-0.321-0.088-0.389-0.212-0.721-0.199-0.168-0.168-0.911-3.046-0.324-3.049-0.454-0.666+5.352+2.178-2.642-0.324-0.899-0.513-0.327-0.327-0.184-0.234-0.321-0.641-0.634-0.221-0.327</f>
        <v>1.1380000000000035</v>
      </c>
    </row>
    <row r="4087" spans="1:5" x14ac:dyDescent="0.3">
      <c r="A4087" s="8">
        <v>299</v>
      </c>
      <c r="B4087" s="8">
        <v>50</v>
      </c>
      <c r="C4087" s="8">
        <v>45</v>
      </c>
      <c r="D4087" s="8" t="s">
        <v>1</v>
      </c>
      <c r="E4087" s="9">
        <v>10</v>
      </c>
    </row>
    <row r="4088" spans="1:5" x14ac:dyDescent="0.3">
      <c r="A4088" s="10">
        <v>299</v>
      </c>
      <c r="B4088" s="10">
        <v>50</v>
      </c>
      <c r="C4088" s="10" t="s">
        <v>28</v>
      </c>
      <c r="D4088" s="10" t="s">
        <v>1</v>
      </c>
      <c r="E4088" s="15">
        <f>19.582-0.68-2.456</f>
        <v>16.446000000000002</v>
      </c>
    </row>
    <row r="4089" spans="1:5" x14ac:dyDescent="0.3">
      <c r="A4089" s="8">
        <v>299</v>
      </c>
      <c r="B4089" s="8">
        <v>50</v>
      </c>
      <c r="C4089" s="8" t="s">
        <v>30</v>
      </c>
      <c r="D4089" s="8" t="s">
        <v>1</v>
      </c>
      <c r="E4089" s="9">
        <v>5</v>
      </c>
    </row>
    <row r="4090" spans="1:5" x14ac:dyDescent="0.3">
      <c r="A4090" s="10">
        <v>299</v>
      </c>
      <c r="B4090" s="10">
        <v>55</v>
      </c>
      <c r="C4090" s="10" t="s">
        <v>28</v>
      </c>
      <c r="D4090" s="10" t="s">
        <v>1</v>
      </c>
      <c r="E4090" s="15">
        <v>4.8520000000000003</v>
      </c>
    </row>
    <row r="4091" spans="1:5" x14ac:dyDescent="0.3">
      <c r="A4091" s="10">
        <v>299</v>
      </c>
      <c r="B4091" s="10">
        <v>60</v>
      </c>
      <c r="C4091" s="10">
        <v>20</v>
      </c>
      <c r="D4091" s="10" t="s">
        <v>1</v>
      </c>
      <c r="E4091" s="15">
        <f>2.239+1.483+2.189-0.139-0.55-0.373-0.242-0.369-4.059+13.642-0.054-1.053-0.229-0.389-0.389+1.774-0.529-0.375-0.133</f>
        <v>12.444000000000003</v>
      </c>
    </row>
    <row r="4092" spans="1:5" x14ac:dyDescent="0.3">
      <c r="A4092" s="10">
        <v>299</v>
      </c>
      <c r="B4092" s="10">
        <v>60</v>
      </c>
      <c r="C4092" s="10" t="s">
        <v>26</v>
      </c>
      <c r="D4092" s="10" t="s">
        <v>1</v>
      </c>
      <c r="E4092" s="15">
        <f>7.461-2.477-0.196-1.43-0.192-0.653-0.242-0.118-0.653+9.388-0.408-1.1-0.377-0.238-1.441-1.093-0.178-0.199-0.65+0.061-0.281-0.494-0.408-0.653-0.522-0.838-0.11</f>
        <v>1.9590000000000007</v>
      </c>
    </row>
    <row r="4093" spans="1:5" x14ac:dyDescent="0.3">
      <c r="A4093" s="8">
        <v>299</v>
      </c>
      <c r="B4093" s="8">
        <v>60</v>
      </c>
      <c r="C4093" s="8" t="s">
        <v>26</v>
      </c>
      <c r="D4093" s="8" t="s">
        <v>64</v>
      </c>
      <c r="E4093" s="9">
        <f>5-3.864</f>
        <v>1.1360000000000001</v>
      </c>
    </row>
    <row r="4094" spans="1:5" x14ac:dyDescent="0.3">
      <c r="A4094" s="10">
        <v>299</v>
      </c>
      <c r="B4094" s="10">
        <v>60</v>
      </c>
      <c r="C4094" s="10">
        <v>35</v>
      </c>
      <c r="D4094" s="10" t="s">
        <v>1</v>
      </c>
      <c r="E4094" s="15">
        <f>12.477-0.731-1.878-0.375-0.227-0.123-0.522-0.234-0.105-0.09-0.123-1.828-1.199-0.198-0.375-1.303-0.375</f>
        <v>2.7910000000000004</v>
      </c>
    </row>
    <row r="4095" spans="1:5" x14ac:dyDescent="0.3">
      <c r="A4095" s="10">
        <v>299</v>
      </c>
      <c r="B4095" s="10">
        <v>60</v>
      </c>
      <c r="C4095" s="10">
        <v>45</v>
      </c>
      <c r="D4095" s="10" t="s">
        <v>1</v>
      </c>
      <c r="E4095" s="15">
        <f>14.648-0.361-1.256-0.192-0.896</f>
        <v>11.942999999999998</v>
      </c>
    </row>
    <row r="4096" spans="1:5" x14ac:dyDescent="0.3">
      <c r="A4096" s="8">
        <v>299</v>
      </c>
      <c r="B4096" s="8">
        <v>60</v>
      </c>
      <c r="C4096" s="8" t="s">
        <v>28</v>
      </c>
      <c r="D4096" s="8" t="s">
        <v>1</v>
      </c>
      <c r="E4096" s="9">
        <f>15.739+5.217</f>
        <v>20.956</v>
      </c>
    </row>
    <row r="4097" spans="1:5" x14ac:dyDescent="0.3">
      <c r="A4097" s="8">
        <v>299</v>
      </c>
      <c r="B4097" s="8">
        <v>60</v>
      </c>
      <c r="C4097" s="8" t="s">
        <v>30</v>
      </c>
      <c r="D4097" s="8" t="s">
        <v>1</v>
      </c>
      <c r="E4097" s="9">
        <v>10</v>
      </c>
    </row>
    <row r="4098" spans="1:5" x14ac:dyDescent="0.3">
      <c r="A4098" s="10">
        <v>298.5</v>
      </c>
      <c r="B4098" s="10">
        <v>65</v>
      </c>
      <c r="C4098" s="10" t="s">
        <v>28</v>
      </c>
      <c r="D4098" s="10" t="s">
        <v>1</v>
      </c>
      <c r="E4098" s="15">
        <f>5.585-0.192-0.105</f>
        <v>5.2879999999999994</v>
      </c>
    </row>
    <row r="4099" spans="1:5" x14ac:dyDescent="0.3">
      <c r="A4099" s="8">
        <v>299</v>
      </c>
      <c r="B4099" s="8">
        <v>70</v>
      </c>
      <c r="C4099" s="8">
        <v>20</v>
      </c>
      <c r="D4099" s="8" t="s">
        <v>1</v>
      </c>
      <c r="E4099" s="9">
        <v>7</v>
      </c>
    </row>
    <row r="4100" spans="1:5" x14ac:dyDescent="0.3">
      <c r="A4100" s="10">
        <v>299</v>
      </c>
      <c r="B4100" s="10">
        <v>70</v>
      </c>
      <c r="C4100" s="10" t="s">
        <v>26</v>
      </c>
      <c r="D4100" s="10" t="s">
        <v>1</v>
      </c>
      <c r="E4100" s="15">
        <f>6.6+2.17-0.622-2.226-2.178+4.062+2.085+4.948-0.069-1.52-0.418-0.622-0.425-4.948</f>
        <v>6.8369999999999997</v>
      </c>
    </row>
    <row r="4101" spans="1:5" x14ac:dyDescent="0.3">
      <c r="A4101" s="10">
        <v>299</v>
      </c>
      <c r="B4101" s="10">
        <v>70</v>
      </c>
      <c r="C4101" s="10">
        <v>35</v>
      </c>
      <c r="D4101" s="10" t="s">
        <v>1</v>
      </c>
      <c r="E4101" s="15">
        <f>12.348+0.069-0.522</f>
        <v>11.895000000000001</v>
      </c>
    </row>
    <row r="4102" spans="1:5" x14ac:dyDescent="0.3">
      <c r="A4102" s="10">
        <v>299</v>
      </c>
      <c r="B4102" s="10">
        <v>70</v>
      </c>
      <c r="C4102" s="10">
        <v>45</v>
      </c>
      <c r="D4102" s="10" t="s">
        <v>1</v>
      </c>
      <c r="E4102" s="15">
        <f>2.246+11.054-1.003-0.502-0.215-11.054</f>
        <v>0.5259999999999998</v>
      </c>
    </row>
    <row r="4103" spans="1:5" x14ac:dyDescent="0.3">
      <c r="A4103" s="8">
        <v>299</v>
      </c>
      <c r="B4103" s="8">
        <v>70</v>
      </c>
      <c r="C4103" s="8">
        <v>45</v>
      </c>
      <c r="D4103" s="8" t="s">
        <v>1</v>
      </c>
      <c r="E4103" s="9">
        <v>10</v>
      </c>
    </row>
    <row r="4104" spans="1:5" x14ac:dyDescent="0.3">
      <c r="A4104" s="10">
        <v>299</v>
      </c>
      <c r="B4104" s="10">
        <v>70</v>
      </c>
      <c r="C4104" s="10" t="s">
        <v>28</v>
      </c>
      <c r="D4104" s="10" t="s">
        <v>1</v>
      </c>
      <c r="E4104" s="15">
        <v>6.14</v>
      </c>
    </row>
    <row r="4105" spans="1:5" x14ac:dyDescent="0.3">
      <c r="A4105" s="8">
        <v>299</v>
      </c>
      <c r="B4105" s="8">
        <v>70</v>
      </c>
      <c r="C4105" s="8" t="s">
        <v>30</v>
      </c>
      <c r="D4105" s="8" t="s">
        <v>1</v>
      </c>
      <c r="E4105" s="9">
        <v>5</v>
      </c>
    </row>
    <row r="4106" spans="1:5" x14ac:dyDescent="0.3">
      <c r="A4106" s="10">
        <v>299</v>
      </c>
      <c r="B4106" s="10">
        <v>75</v>
      </c>
      <c r="C4106" s="10" t="s">
        <v>28</v>
      </c>
      <c r="D4106" s="10" t="s">
        <v>1</v>
      </c>
      <c r="E4106" s="15">
        <f>8+3.766</f>
        <v>11.766</v>
      </c>
    </row>
    <row r="4107" spans="1:5" x14ac:dyDescent="0.3">
      <c r="A4107" s="10">
        <v>299</v>
      </c>
      <c r="B4107" s="10">
        <v>80</v>
      </c>
      <c r="C4107" s="10">
        <v>20</v>
      </c>
      <c r="D4107" s="10" t="s">
        <v>1</v>
      </c>
      <c r="E4107" s="15">
        <f>8.052+4.246-0.89-0.122-0.465-0.747-0.413-4.13</f>
        <v>5.5309999999999997</v>
      </c>
    </row>
    <row r="4108" spans="1:5" x14ac:dyDescent="0.3">
      <c r="A4108" s="10">
        <v>299</v>
      </c>
      <c r="B4108" s="10">
        <v>80</v>
      </c>
      <c r="C4108" s="10" t="s">
        <v>26</v>
      </c>
      <c r="D4108" s="10" t="s">
        <v>1</v>
      </c>
      <c r="E4108" s="15">
        <f>12.036-1.91-0.456</f>
        <v>9.67</v>
      </c>
    </row>
    <row r="4109" spans="1:5" x14ac:dyDescent="0.3">
      <c r="A4109" s="10">
        <v>299</v>
      </c>
      <c r="B4109" s="10">
        <v>80</v>
      </c>
      <c r="C4109" s="10">
        <v>45</v>
      </c>
      <c r="D4109" s="10" t="s">
        <v>1</v>
      </c>
      <c r="E4109" s="15">
        <f>13.166-0.877</f>
        <v>12.289</v>
      </c>
    </row>
    <row r="4110" spans="1:5" x14ac:dyDescent="0.3">
      <c r="A4110" s="10">
        <v>302</v>
      </c>
      <c r="B4110" s="10">
        <v>45</v>
      </c>
      <c r="C4110" s="10" t="s">
        <v>28</v>
      </c>
      <c r="D4110" s="10" t="s">
        <v>1</v>
      </c>
      <c r="E4110" s="15">
        <f>2.052+3.98</f>
        <v>6.032</v>
      </c>
    </row>
    <row r="4111" spans="1:5" x14ac:dyDescent="0.3">
      <c r="A4111" s="10">
        <v>305</v>
      </c>
      <c r="B4111" s="10">
        <v>60</v>
      </c>
      <c r="C4111" s="10" t="s">
        <v>28</v>
      </c>
      <c r="D4111" s="10" t="s">
        <v>1</v>
      </c>
      <c r="E4111" s="15">
        <v>4.9640000000000004</v>
      </c>
    </row>
    <row r="4112" spans="1:5" x14ac:dyDescent="0.3">
      <c r="A4112" s="8">
        <v>306</v>
      </c>
      <c r="B4112" s="8">
        <v>20</v>
      </c>
      <c r="C4112" s="8">
        <v>20</v>
      </c>
      <c r="D4112" s="8" t="s">
        <v>1</v>
      </c>
      <c r="E4112" s="9">
        <v>5</v>
      </c>
    </row>
    <row r="4113" spans="1:5" x14ac:dyDescent="0.3">
      <c r="A4113" s="8">
        <v>306</v>
      </c>
      <c r="B4113" s="8">
        <v>25</v>
      </c>
      <c r="C4113" s="8">
        <v>20</v>
      </c>
      <c r="D4113" s="8" t="s">
        <v>1</v>
      </c>
      <c r="E4113" s="9">
        <v>5</v>
      </c>
    </row>
    <row r="4114" spans="1:5" x14ac:dyDescent="0.3">
      <c r="A4114" s="8">
        <v>306</v>
      </c>
      <c r="B4114" s="8">
        <v>30</v>
      </c>
      <c r="C4114" s="8">
        <v>20</v>
      </c>
      <c r="D4114" s="8" t="s">
        <v>1</v>
      </c>
      <c r="E4114" s="9">
        <v>5</v>
      </c>
    </row>
    <row r="4115" spans="1:5" x14ac:dyDescent="0.3">
      <c r="A4115" s="8">
        <v>306</v>
      </c>
      <c r="B4115" s="8">
        <v>36</v>
      </c>
      <c r="C4115" s="8">
        <v>20</v>
      </c>
      <c r="D4115" s="8" t="s">
        <v>1</v>
      </c>
      <c r="E4115" s="9">
        <v>5</v>
      </c>
    </row>
    <row r="4116" spans="1:5" x14ac:dyDescent="0.3">
      <c r="A4116" s="8">
        <v>306</v>
      </c>
      <c r="B4116" s="8">
        <v>40</v>
      </c>
      <c r="C4116" s="8">
        <v>20</v>
      </c>
      <c r="D4116" s="8" t="s">
        <v>1</v>
      </c>
      <c r="E4116" s="9">
        <v>5</v>
      </c>
    </row>
    <row r="4117" spans="1:5" x14ac:dyDescent="0.3">
      <c r="A4117" s="10">
        <v>306</v>
      </c>
      <c r="B4117" s="10">
        <v>40</v>
      </c>
      <c r="C4117" s="10">
        <v>45</v>
      </c>
      <c r="D4117" s="10" t="s">
        <v>1</v>
      </c>
      <c r="E4117" s="15">
        <f>2.576-0.064-0.811-0.878</f>
        <v>0.82300000000000006</v>
      </c>
    </row>
    <row r="4118" spans="1:5" x14ac:dyDescent="0.3">
      <c r="A4118" s="8">
        <v>306</v>
      </c>
      <c r="B4118" s="8">
        <v>45</v>
      </c>
      <c r="C4118" s="8">
        <v>20</v>
      </c>
      <c r="D4118" s="8" t="s">
        <v>1</v>
      </c>
      <c r="E4118" s="9">
        <v>5</v>
      </c>
    </row>
    <row r="4119" spans="1:5" x14ac:dyDescent="0.3">
      <c r="A4119" s="10">
        <v>306</v>
      </c>
      <c r="B4119" s="10">
        <v>50</v>
      </c>
      <c r="C4119" s="10">
        <v>20</v>
      </c>
      <c r="D4119" s="10" t="s">
        <v>1</v>
      </c>
      <c r="E4119" s="15">
        <f>3.09-0.342-0.477-0.379</f>
        <v>1.8919999999999999</v>
      </c>
    </row>
    <row r="4120" spans="1:5" x14ac:dyDescent="0.3">
      <c r="A4120" s="10">
        <v>306</v>
      </c>
      <c r="B4120" s="10">
        <v>60</v>
      </c>
      <c r="C4120" s="10">
        <v>20</v>
      </c>
      <c r="D4120" s="10" t="s">
        <v>1</v>
      </c>
      <c r="E4120" s="15">
        <f>3.142-0.174</f>
        <v>2.968</v>
      </c>
    </row>
    <row r="4121" spans="1:5" x14ac:dyDescent="0.3">
      <c r="A4121" s="10">
        <v>306</v>
      </c>
      <c r="B4121" s="10">
        <v>60</v>
      </c>
      <c r="C4121" s="10">
        <v>45</v>
      </c>
      <c r="D4121" s="10" t="s">
        <v>1</v>
      </c>
      <c r="E4121" s="15">
        <f>2.976-0.088</f>
        <v>2.8879999999999999</v>
      </c>
    </row>
    <row r="4122" spans="1:5" x14ac:dyDescent="0.3">
      <c r="A4122" s="10">
        <v>308</v>
      </c>
      <c r="B4122" s="10">
        <v>44</v>
      </c>
      <c r="C4122" s="10" t="s">
        <v>28</v>
      </c>
      <c r="D4122" s="10" t="s">
        <v>1</v>
      </c>
      <c r="E4122" s="15">
        <v>6.13</v>
      </c>
    </row>
    <row r="4123" spans="1:5" x14ac:dyDescent="0.3">
      <c r="A4123" s="10">
        <v>315</v>
      </c>
      <c r="B4123" s="10">
        <v>48</v>
      </c>
      <c r="C4123" s="10" t="s">
        <v>28</v>
      </c>
      <c r="D4123" s="10" t="s">
        <v>1</v>
      </c>
      <c r="E4123" s="15">
        <v>6.0679999999999996</v>
      </c>
    </row>
    <row r="4124" spans="1:5" x14ac:dyDescent="0.3">
      <c r="A4124" s="10">
        <v>323.89999999999998</v>
      </c>
      <c r="B4124" s="10">
        <v>8</v>
      </c>
      <c r="C4124" s="10" t="s">
        <v>104</v>
      </c>
      <c r="D4124" s="10" t="s">
        <v>101</v>
      </c>
      <c r="E4124" s="15">
        <v>0.63</v>
      </c>
    </row>
    <row r="4125" spans="1:5" x14ac:dyDescent="0.3">
      <c r="A4125" s="10">
        <v>323.89999999999998</v>
      </c>
      <c r="B4125" s="10">
        <v>12</v>
      </c>
      <c r="C4125" s="10" t="s">
        <v>100</v>
      </c>
      <c r="D4125" s="10" t="s">
        <v>101</v>
      </c>
      <c r="E4125" s="15">
        <f>4.482-1.121</f>
        <v>3.3610000000000002</v>
      </c>
    </row>
    <row r="4126" spans="1:5" x14ac:dyDescent="0.3">
      <c r="A4126" s="8">
        <v>323.89999999999998</v>
      </c>
      <c r="B4126" s="8">
        <v>16</v>
      </c>
      <c r="C4126" s="8" t="s">
        <v>43</v>
      </c>
      <c r="D4126" s="8" t="s">
        <v>32</v>
      </c>
      <c r="E4126" s="9">
        <v>0.76</v>
      </c>
    </row>
    <row r="4127" spans="1:5" x14ac:dyDescent="0.3">
      <c r="A4127" s="10">
        <v>323.89999999999998</v>
      </c>
      <c r="B4127" s="10">
        <v>20</v>
      </c>
      <c r="C4127" s="10" t="s">
        <v>65</v>
      </c>
      <c r="D4127" s="10" t="s">
        <v>101</v>
      </c>
      <c r="E4127" s="15">
        <v>1.7969999999999999</v>
      </c>
    </row>
    <row r="4128" spans="1:5" x14ac:dyDescent="0.3">
      <c r="A4128" s="10">
        <v>323.89999999999998</v>
      </c>
      <c r="B4128" s="10">
        <v>25.4</v>
      </c>
      <c r="C4128" s="10" t="s">
        <v>169</v>
      </c>
      <c r="D4128" s="10" t="s">
        <v>179</v>
      </c>
      <c r="E4128" s="15">
        <v>2.0270000000000001</v>
      </c>
    </row>
    <row r="4129" spans="1:5" x14ac:dyDescent="0.3">
      <c r="A4129" s="10">
        <v>325</v>
      </c>
      <c r="B4129" s="10">
        <v>5</v>
      </c>
      <c r="C4129" s="10">
        <v>20</v>
      </c>
      <c r="D4129" s="10" t="s">
        <v>7</v>
      </c>
      <c r="E4129" s="15">
        <f>2.065-0.021-0.054-0.087-0.051-0.27-0.027-0.109-0.107-0.014-0.103+0.371-0.043+0.492-0.02-0.123-0.086-0.082-0.043-0.035-0.065-0.179-0.213-0.025-0.043-0.043-0.085-0.02-0.378-0.083-0.043-0.042-0.051-0.103-0.057-0.03-0.014-0.011-0.043-0.027-0.146+0.06</f>
        <v>1.200000000000051E-2</v>
      </c>
    </row>
    <row r="4130" spans="1:5" x14ac:dyDescent="0.3">
      <c r="A4130" s="10">
        <v>325</v>
      </c>
      <c r="B4130" s="10">
        <v>5</v>
      </c>
      <c r="C4130" s="10" t="s">
        <v>26</v>
      </c>
      <c r="D4130" s="10" t="s">
        <v>7</v>
      </c>
      <c r="E4130" s="15">
        <f>1.422-0.043-0.059-0.246-0.14-0.042-0.059-0.041-0.023-0.043-0.016-0.163-0.047</f>
        <v>0.49999999999999983</v>
      </c>
    </row>
    <row r="4131" spans="1:5" x14ac:dyDescent="0.3">
      <c r="A4131" s="10">
        <v>325</v>
      </c>
      <c r="B4131" s="10">
        <v>5.5</v>
      </c>
      <c r="C4131" s="10">
        <v>20</v>
      </c>
      <c r="D4131" s="10" t="s">
        <v>22</v>
      </c>
      <c r="E4131" s="15">
        <v>2.1999999999999999E-2</v>
      </c>
    </row>
    <row r="4132" spans="1:5" x14ac:dyDescent="0.3">
      <c r="A4132" s="8">
        <v>325</v>
      </c>
      <c r="B4132" s="8">
        <v>6</v>
      </c>
      <c r="C4132" s="8" t="s">
        <v>19</v>
      </c>
      <c r="D4132" s="8" t="s">
        <v>7</v>
      </c>
      <c r="E4132" s="9">
        <f>3.96-0.564-0.124-0.031-0.052-0.077-0.295-0.666-0.055-0.17-0.177-0.043+0.007-0.062-0.05-0.028-0.058-0.051-0.121-0.011-0.027-0.026-0.289-0.041-0.337-0.016+0.056-0.097-0.137-0.026-0.033-0.051-0.056-0.045-0.146-0.043-0.029+0.013</f>
        <v>1.9999999999996947E-3</v>
      </c>
    </row>
    <row r="4133" spans="1:5" x14ac:dyDescent="0.3">
      <c r="A4133" s="10">
        <v>325</v>
      </c>
      <c r="B4133" s="10">
        <v>6</v>
      </c>
      <c r="C4133" s="10">
        <v>20</v>
      </c>
      <c r="D4133" s="10" t="s">
        <v>7</v>
      </c>
      <c r="E4133" s="15">
        <f>1.471+0.293-0.108+0.043-0.298-0.099-0.051-0.209-0.098-0.051-0.031-0.13-0.1-0.067-0.024-0.014-0.147-0.099-0.049-0.072-0.098+0.519+1.052-0.019+0.307+0.366-0.025-0.287-0.075</f>
        <v>1.9000000000000001</v>
      </c>
    </row>
    <row r="4134" spans="1:5" x14ac:dyDescent="0.3">
      <c r="A4134" s="8">
        <v>325</v>
      </c>
      <c r="B4134" s="8">
        <v>6</v>
      </c>
      <c r="C4134" s="8" t="s">
        <v>26</v>
      </c>
      <c r="D4134" s="8" t="s">
        <v>7</v>
      </c>
      <c r="E4134" s="15">
        <f>0.944+0.472+0.354-0.017-0.195</f>
        <v>1.5580000000000001</v>
      </c>
    </row>
    <row r="4135" spans="1:5" x14ac:dyDescent="0.3">
      <c r="A4135" s="10">
        <v>325</v>
      </c>
      <c r="B4135" s="10">
        <v>7</v>
      </c>
      <c r="C4135" s="10">
        <v>20</v>
      </c>
      <c r="D4135" s="10" t="s">
        <v>7</v>
      </c>
      <c r="E4135" s="15">
        <v>0.39800000000000002</v>
      </c>
    </row>
    <row r="4136" spans="1:5" x14ac:dyDescent="0.3">
      <c r="A4136" s="10">
        <v>325</v>
      </c>
      <c r="B4136" s="10">
        <v>7</v>
      </c>
      <c r="C4136" s="10" t="s">
        <v>26</v>
      </c>
      <c r="D4136" s="10" t="s">
        <v>7</v>
      </c>
      <c r="E4136" s="15">
        <v>0.38400000000000001</v>
      </c>
    </row>
    <row r="4137" spans="1:5" x14ac:dyDescent="0.3">
      <c r="A4137" s="10">
        <v>325</v>
      </c>
      <c r="B4137" s="10">
        <v>7</v>
      </c>
      <c r="C4137" s="10" t="s">
        <v>102</v>
      </c>
      <c r="D4137" s="10" t="s">
        <v>125</v>
      </c>
      <c r="E4137" s="15">
        <f>1.318+0.576</f>
        <v>1.8940000000000001</v>
      </c>
    </row>
    <row r="4138" spans="1:5" x14ac:dyDescent="0.3">
      <c r="A4138" s="10">
        <v>325</v>
      </c>
      <c r="B4138" s="10">
        <v>7</v>
      </c>
      <c r="C4138" s="10" t="s">
        <v>37</v>
      </c>
      <c r="D4138" s="10" t="s">
        <v>7</v>
      </c>
      <c r="E4138" s="15">
        <f>0.682-0.067</f>
        <v>0.61499999999999999</v>
      </c>
    </row>
    <row r="4139" spans="1:5" x14ac:dyDescent="0.3">
      <c r="A4139" s="10">
        <v>325</v>
      </c>
      <c r="B4139" s="10">
        <v>8</v>
      </c>
      <c r="C4139" s="10">
        <v>20</v>
      </c>
      <c r="D4139" s="10" t="s">
        <v>7</v>
      </c>
      <c r="E4139" s="15">
        <f>0.469+0.892</f>
        <v>1.361</v>
      </c>
    </row>
    <row r="4140" spans="1:5" x14ac:dyDescent="0.3">
      <c r="A4140" s="8">
        <v>325</v>
      </c>
      <c r="B4140" s="8">
        <v>8</v>
      </c>
      <c r="C4140" s="13" t="s">
        <v>19</v>
      </c>
      <c r="D4140" s="8" t="s">
        <v>7</v>
      </c>
      <c r="E4140" s="9">
        <f>4.297-0.287+0.059-0.256-0.03-1.424-0.138</f>
        <v>2.2210000000000001</v>
      </c>
    </row>
    <row r="4141" spans="1:5" x14ac:dyDescent="0.3">
      <c r="A4141" s="13">
        <v>325</v>
      </c>
      <c r="B4141" s="13">
        <v>8</v>
      </c>
      <c r="C4141" s="13" t="s">
        <v>116</v>
      </c>
      <c r="D4141" s="13" t="s">
        <v>1</v>
      </c>
      <c r="E4141" s="16">
        <f>4.274+0.194-0.073-0.053-0.041-0.115+0.253-0.194-0.192-0.062-0.167-0.098-0.298+0.005-0.664-1.44</f>
        <v>1.3289999999999993</v>
      </c>
    </row>
    <row r="4142" spans="1:5" x14ac:dyDescent="0.3">
      <c r="A4142" s="10">
        <v>325</v>
      </c>
      <c r="B4142" s="10">
        <v>8</v>
      </c>
      <c r="C4142" s="10">
        <v>20</v>
      </c>
      <c r="D4142" s="10" t="s">
        <v>1</v>
      </c>
      <c r="E4142" s="15">
        <f>0.743+2.753+0.026-0.012+0.45-0.038-0.134-0.037-0.069-0.029+0.123-0.243-0.073-0.073-0.101-0.027-0.231-0.015+11.36+0.237-0.118-0.011-0.015-0.941-0.138-13.544+0.861-0.406-0.017-0.254-0.016</f>
        <v>1.0999999999999913E-2</v>
      </c>
    </row>
    <row r="4143" spans="1:5" x14ac:dyDescent="0.3">
      <c r="A4143" s="8">
        <v>325</v>
      </c>
      <c r="B4143" s="8">
        <v>8</v>
      </c>
      <c r="C4143" s="13">
        <v>20</v>
      </c>
      <c r="D4143" s="8" t="s">
        <v>1</v>
      </c>
      <c r="E4143" s="9">
        <f>13.544+1.999-0.158-0.071-0.017-0.106-0.173-0.173-0.141-0.024-0.055-0.452-0.186-0.021-0.118-0.085-0.206-0.106-0.6-0.112-0.602-0.038-0.417-0.023-0.343-0.072-0.158-0.415-0.806-0.071-0.037-0.139-0.158-0.205-0.027-0.07-0.07-0.206-0.099-0.068-0.045-0.201-0.07-0.023-0.009-0.071-0.411</f>
        <v>7.8850000000000069</v>
      </c>
    </row>
    <row r="4144" spans="1:5" x14ac:dyDescent="0.3">
      <c r="A4144" s="10">
        <v>325</v>
      </c>
      <c r="B4144" s="10">
        <v>8</v>
      </c>
      <c r="C4144" s="10">
        <v>20</v>
      </c>
      <c r="D4144" s="10" t="s">
        <v>1</v>
      </c>
      <c r="E4144" s="15">
        <v>0.74199999999999999</v>
      </c>
    </row>
    <row r="4145" spans="1:5" x14ac:dyDescent="0.3">
      <c r="A4145" s="10">
        <v>325</v>
      </c>
      <c r="B4145" s="10">
        <v>8</v>
      </c>
      <c r="C4145" s="10" t="s">
        <v>26</v>
      </c>
      <c r="D4145" s="10" t="s">
        <v>7</v>
      </c>
      <c r="E4145" s="15">
        <f>0.538+3.196+0.036-0.098-0.098-0.256-0.199-0.263-0.173-0.203-0.193+0.686-0.13-0.128-0.167-0.112+0.619+0.832-0.129-0.019-0.354-0.493-0.035+10.229+9.836-0.318+7.803-0.018-0.054</f>
        <v>30.334999999999997</v>
      </c>
    </row>
    <row r="4146" spans="1:5" x14ac:dyDescent="0.3">
      <c r="A4146" s="10">
        <v>325</v>
      </c>
      <c r="B4146" s="10">
        <v>8</v>
      </c>
      <c r="C4146" s="10" t="s">
        <v>26</v>
      </c>
      <c r="D4146" s="10" t="s">
        <v>1</v>
      </c>
      <c r="E4146" s="15">
        <f>5.668-0.066-0.067-0.713-0.694-0.066-0.029-0.098-0.344-0.253+0.087+0.26-0.035-0.076-0.066-0.047+0.418-0.112-0.092-0.425-0.08-0.041-0.057-0.033-0.066-0.192-0.054-0.172-0.085-0.254-0.071-0.015-0.066-0.097-0.025-0.098-0.025-0.172-0.066-0.264-0.386-0.172-0.157</f>
        <v>0.60200000000000053</v>
      </c>
    </row>
    <row r="4147" spans="1:5" x14ac:dyDescent="0.3">
      <c r="A4147" s="10">
        <v>325</v>
      </c>
      <c r="B4147" s="10">
        <v>8</v>
      </c>
      <c r="C4147" s="10" t="s">
        <v>26</v>
      </c>
      <c r="D4147" s="10" t="s">
        <v>1</v>
      </c>
      <c r="E4147" s="15">
        <f>5.532-0.174-0.112-0.169-0.1-0.067-0.067-0.049-0.198-0.082</f>
        <v>4.5139999999999993</v>
      </c>
    </row>
    <row r="4148" spans="1:5" x14ac:dyDescent="0.3">
      <c r="A4148" s="10">
        <v>325</v>
      </c>
      <c r="B4148" s="10">
        <v>8</v>
      </c>
      <c r="C4148" s="10" t="s">
        <v>52</v>
      </c>
      <c r="D4148" s="10" t="s">
        <v>90</v>
      </c>
      <c r="E4148" s="15">
        <f>0.759-0.073-0.13</f>
        <v>0.55600000000000005</v>
      </c>
    </row>
    <row r="4149" spans="1:5" x14ac:dyDescent="0.3">
      <c r="A4149" s="10">
        <v>325</v>
      </c>
      <c r="B4149" s="10">
        <v>8</v>
      </c>
      <c r="C4149" s="10" t="s">
        <v>52</v>
      </c>
      <c r="D4149" s="10" t="s">
        <v>7</v>
      </c>
      <c r="E4149" s="15">
        <f>0.485+0.469</f>
        <v>0.95399999999999996</v>
      </c>
    </row>
    <row r="4150" spans="1:5" x14ac:dyDescent="0.3">
      <c r="A4150" s="10">
        <v>325</v>
      </c>
      <c r="B4150" s="10">
        <v>8</v>
      </c>
      <c r="C4150" s="10" t="s">
        <v>37</v>
      </c>
      <c r="D4150" s="10" t="s">
        <v>125</v>
      </c>
      <c r="E4150" s="15">
        <f>1.5-0.193-0.07-0.067-0.057</f>
        <v>1.113</v>
      </c>
    </row>
    <row r="4151" spans="1:5" x14ac:dyDescent="0.3">
      <c r="A4151" s="10">
        <v>325</v>
      </c>
      <c r="B4151" s="10">
        <v>8</v>
      </c>
      <c r="C4151" s="10" t="s">
        <v>37</v>
      </c>
      <c r="D4151" s="10" t="s">
        <v>129</v>
      </c>
      <c r="E4151" s="15">
        <v>0.41099999999999998</v>
      </c>
    </row>
    <row r="4152" spans="1:5" x14ac:dyDescent="0.3">
      <c r="A4152" s="10">
        <v>325</v>
      </c>
      <c r="B4152" s="10">
        <v>9</v>
      </c>
      <c r="C4152" s="8">
        <v>20</v>
      </c>
      <c r="D4152" s="8" t="s">
        <v>7</v>
      </c>
      <c r="E4152" s="15">
        <f>1.445-0.026-0.145-0.145-0.076-0.425-0.111</f>
        <v>0.5169999999999999</v>
      </c>
    </row>
    <row r="4153" spans="1:5" x14ac:dyDescent="0.3">
      <c r="A4153" s="10">
        <v>325</v>
      </c>
      <c r="B4153" s="10">
        <v>9</v>
      </c>
      <c r="C4153" s="8" t="s">
        <v>111</v>
      </c>
      <c r="D4153" s="8" t="s">
        <v>122</v>
      </c>
      <c r="E4153" s="15">
        <v>0.82099999999999995</v>
      </c>
    </row>
    <row r="4154" spans="1:5" x14ac:dyDescent="0.3">
      <c r="A4154" s="10">
        <v>325</v>
      </c>
      <c r="B4154" s="10">
        <v>9</v>
      </c>
      <c r="C4154" s="10">
        <v>20</v>
      </c>
      <c r="D4154" s="10" t="s">
        <v>1</v>
      </c>
      <c r="E4154" s="15">
        <f>2.11-0.16+0.002-0.724+1.938-0.216-0.075-0.074-0.047-0.146-0.034-0.146-0.039-0.02</f>
        <v>2.3689999999999998</v>
      </c>
    </row>
    <row r="4155" spans="1:5" x14ac:dyDescent="0.3">
      <c r="A4155" s="10">
        <v>325</v>
      </c>
      <c r="B4155" s="10">
        <v>9</v>
      </c>
      <c r="C4155" s="10" t="s">
        <v>26</v>
      </c>
      <c r="D4155" s="10" t="s">
        <v>7</v>
      </c>
      <c r="E4155" s="15">
        <f>1.546-0.22-0.216+0.544-0.429-0.075</f>
        <v>1.1500000000000001</v>
      </c>
    </row>
    <row r="4156" spans="1:5" x14ac:dyDescent="0.3">
      <c r="A4156" s="10">
        <v>325</v>
      </c>
      <c r="B4156" s="10">
        <v>9</v>
      </c>
      <c r="C4156" s="10" t="s">
        <v>26</v>
      </c>
      <c r="D4156" s="10" t="s">
        <v>70</v>
      </c>
      <c r="E4156" s="15">
        <f>0.934-0.066-0.388-0.301-0.082+0.001</f>
        <v>9.8000000000000101E-2</v>
      </c>
    </row>
    <row r="4157" spans="1:5" x14ac:dyDescent="0.3">
      <c r="A4157" s="8">
        <v>325</v>
      </c>
      <c r="B4157" s="8">
        <v>9</v>
      </c>
      <c r="C4157" s="8" t="s">
        <v>26</v>
      </c>
      <c r="D4157" s="8" t="s">
        <v>1</v>
      </c>
      <c r="E4157" s="9">
        <f>0.644+3.219-0.584-0.287-0.075-0.061-0.144-0.072-0.076</f>
        <v>2.5639999999999996</v>
      </c>
    </row>
    <row r="4158" spans="1:5" x14ac:dyDescent="0.3">
      <c r="A4158" s="8">
        <v>325</v>
      </c>
      <c r="B4158" s="8">
        <v>9</v>
      </c>
      <c r="C4158" s="8" t="s">
        <v>37</v>
      </c>
      <c r="D4158" s="8" t="s">
        <v>129</v>
      </c>
      <c r="E4158" s="9">
        <f>3.142-0.763-0.393-0.11</f>
        <v>1.8759999999999999</v>
      </c>
    </row>
    <row r="4159" spans="1:5" x14ac:dyDescent="0.3">
      <c r="A4159" s="10">
        <v>325</v>
      </c>
      <c r="B4159" s="10">
        <v>10</v>
      </c>
      <c r="C4159" s="10" t="s">
        <v>19</v>
      </c>
      <c r="D4159" s="10" t="s">
        <v>7</v>
      </c>
      <c r="E4159" s="15">
        <f>0.835+0.301-0.287-0.082-0.123</f>
        <v>0.64400000000000002</v>
      </c>
    </row>
    <row r="4160" spans="1:5" x14ac:dyDescent="0.3">
      <c r="A4160" s="10">
        <v>325</v>
      </c>
      <c r="B4160" s="10">
        <v>10</v>
      </c>
      <c r="C4160" s="10" t="s">
        <v>26</v>
      </c>
      <c r="D4160" s="10" t="s">
        <v>7</v>
      </c>
      <c r="E4160" s="15">
        <f>9.201-0.249+0.002-0.226-0.304-0.32-0.477-0.318-0.149-0.595-0.264-0.241-0.123-0.123+0.602-0.922-0.082</f>
        <v>5.4119999999999999</v>
      </c>
    </row>
    <row r="4161" spans="1:5" x14ac:dyDescent="0.3">
      <c r="A4161" s="10">
        <v>325</v>
      </c>
      <c r="B4161" s="10">
        <v>10</v>
      </c>
      <c r="C4161" s="10" t="s">
        <v>26</v>
      </c>
      <c r="D4161" s="10" t="s">
        <v>1</v>
      </c>
      <c r="E4161" s="15">
        <f>2.628-0.5-0.31-0.253-0.065-0.047-0.386-0.169-0.087-0.253-0.096+0.166</f>
        <v>0.62800000000000022</v>
      </c>
    </row>
    <row r="4162" spans="1:5" x14ac:dyDescent="0.3">
      <c r="A4162" s="10">
        <v>325</v>
      </c>
      <c r="B4162" s="10">
        <v>10</v>
      </c>
      <c r="C4162" s="10" t="s">
        <v>26</v>
      </c>
      <c r="D4162" s="10" t="s">
        <v>2</v>
      </c>
      <c r="E4162" s="15">
        <f>0.782+14.044-0.334-0.181-0.145-0.417-2.628-0.037</f>
        <v>11.084000000000001</v>
      </c>
    </row>
    <row r="4163" spans="1:5" x14ac:dyDescent="0.3">
      <c r="A4163" s="10">
        <v>325</v>
      </c>
      <c r="B4163" s="10">
        <v>10</v>
      </c>
      <c r="C4163" s="10" t="s">
        <v>37</v>
      </c>
      <c r="D4163" s="10" t="s">
        <v>1</v>
      </c>
      <c r="E4163" s="15">
        <f>0.543+0.19-0.544-0.106</f>
        <v>8.300000000000006E-2</v>
      </c>
    </row>
    <row r="4164" spans="1:5" x14ac:dyDescent="0.3">
      <c r="A4164" s="10">
        <v>325</v>
      </c>
      <c r="B4164" s="10">
        <v>12</v>
      </c>
      <c r="C4164" s="10">
        <v>20</v>
      </c>
      <c r="D4164" s="10" t="s">
        <v>7</v>
      </c>
      <c r="E4164" s="15">
        <f>3.376-0.097-0.097-0.104-0.286-0.052-0.511-0.284-0.033</f>
        <v>1.9119999999999997</v>
      </c>
    </row>
    <row r="4165" spans="1:5" x14ac:dyDescent="0.3">
      <c r="A4165" s="10">
        <v>325</v>
      </c>
      <c r="B4165" s="10">
        <v>12</v>
      </c>
      <c r="C4165" s="10">
        <v>20</v>
      </c>
      <c r="D4165" s="10" t="s">
        <v>1</v>
      </c>
      <c r="E4165" s="15">
        <f>1.792+0.443+0.122+2.806-0.099-2.235-0.05-0.073-0.074+2.227-0.557-0.074-0.267-0.333-0.098-0.256-0.372-2.806-0.026-0.058</f>
        <v>1.2000000000000087E-2</v>
      </c>
    </row>
    <row r="4166" spans="1:5" x14ac:dyDescent="0.3">
      <c r="A4166" s="8">
        <v>325</v>
      </c>
      <c r="B4166" s="8">
        <v>12</v>
      </c>
      <c r="C4166" s="8">
        <v>20</v>
      </c>
      <c r="D4166" s="8" t="s">
        <v>1</v>
      </c>
      <c r="E4166" s="9">
        <v>5</v>
      </c>
    </row>
    <row r="4167" spans="1:5" x14ac:dyDescent="0.3">
      <c r="A4167" s="8">
        <v>325</v>
      </c>
      <c r="B4167" s="8">
        <v>12</v>
      </c>
      <c r="C4167" s="8">
        <v>20</v>
      </c>
      <c r="D4167" s="8" t="s">
        <v>32</v>
      </c>
      <c r="E4167" s="9">
        <f>1.435+1.902-0.113-0.099-2.832-0.112</f>
        <v>0.18099999999999972</v>
      </c>
    </row>
    <row r="4168" spans="1:5" x14ac:dyDescent="0.3">
      <c r="A4168" s="8">
        <v>325</v>
      </c>
      <c r="B4168" s="8">
        <v>12</v>
      </c>
      <c r="C4168" s="8">
        <v>20</v>
      </c>
      <c r="D4168" s="8" t="s">
        <v>32</v>
      </c>
      <c r="E4168" s="9">
        <v>1.32</v>
      </c>
    </row>
    <row r="4169" spans="1:5" x14ac:dyDescent="0.3">
      <c r="A4169" s="10">
        <v>325</v>
      </c>
      <c r="B4169" s="10">
        <v>12</v>
      </c>
      <c r="C4169" s="10" t="s">
        <v>26</v>
      </c>
      <c r="D4169" s="10" t="s">
        <v>7</v>
      </c>
      <c r="E4169" s="15">
        <v>0.187</v>
      </c>
    </row>
    <row r="4170" spans="1:5" x14ac:dyDescent="0.3">
      <c r="A4170" s="10">
        <v>325</v>
      </c>
      <c r="B4170" s="10">
        <v>12</v>
      </c>
      <c r="C4170" s="10" t="s">
        <v>26</v>
      </c>
      <c r="D4170" s="10" t="s">
        <v>1</v>
      </c>
      <c r="E4170" s="15">
        <f>0.916+2.602+0.642+9.802-0.193+0.956-0.117</f>
        <v>14.607999999999999</v>
      </c>
    </row>
    <row r="4171" spans="1:5" x14ac:dyDescent="0.3">
      <c r="A4171" s="8">
        <v>325</v>
      </c>
      <c r="B4171" s="8">
        <v>12</v>
      </c>
      <c r="C4171" s="8" t="s">
        <v>26</v>
      </c>
      <c r="D4171" s="8" t="s">
        <v>64</v>
      </c>
      <c r="E4171" s="9">
        <v>5</v>
      </c>
    </row>
    <row r="4172" spans="1:5" x14ac:dyDescent="0.3">
      <c r="A4172" s="8">
        <v>325</v>
      </c>
      <c r="B4172" s="8">
        <v>12</v>
      </c>
      <c r="C4172" s="10" t="s">
        <v>139</v>
      </c>
      <c r="D4172" s="10" t="s">
        <v>114</v>
      </c>
      <c r="E4172" s="9">
        <f>6.534-0.033-0.051-0.051-0.214-0.212-0.241-0.26</f>
        <v>5.4719999999999995</v>
      </c>
    </row>
    <row r="4173" spans="1:5" x14ac:dyDescent="0.3">
      <c r="A4173" s="10">
        <v>325</v>
      </c>
      <c r="B4173" s="10">
        <v>12</v>
      </c>
      <c r="C4173" s="10" t="s">
        <v>37</v>
      </c>
      <c r="D4173" s="10" t="s">
        <v>1</v>
      </c>
      <c r="E4173" s="15">
        <f>3.181+0.21-0.21-0.692-0.119-0.052-0.071-0.055-0.086-0.027+2.058+0.813</f>
        <v>4.9499999999999993</v>
      </c>
    </row>
    <row r="4174" spans="1:5" x14ac:dyDescent="0.3">
      <c r="A4174" s="10">
        <v>325</v>
      </c>
      <c r="B4174" s="10">
        <v>12</v>
      </c>
      <c r="C4174" s="10" t="s">
        <v>37</v>
      </c>
      <c r="D4174" s="10" t="s">
        <v>1</v>
      </c>
      <c r="E4174" s="15">
        <v>8.7989999999999995</v>
      </c>
    </row>
    <row r="4175" spans="1:5" x14ac:dyDescent="0.3">
      <c r="A4175" s="8">
        <v>325</v>
      </c>
      <c r="B4175" s="8">
        <v>12</v>
      </c>
      <c r="C4175" s="8" t="s">
        <v>31</v>
      </c>
      <c r="D4175" s="8" t="s">
        <v>32</v>
      </c>
      <c r="E4175" s="9">
        <v>5</v>
      </c>
    </row>
    <row r="4176" spans="1:5" x14ac:dyDescent="0.3">
      <c r="A4176" s="8">
        <v>325</v>
      </c>
      <c r="B4176" s="8">
        <v>12</v>
      </c>
      <c r="C4176" s="8" t="s">
        <v>29</v>
      </c>
      <c r="D4176" s="8" t="s">
        <v>3</v>
      </c>
      <c r="E4176" s="9">
        <f>7.17-0.979+0.779-0.78</f>
        <v>6.1899999999999995</v>
      </c>
    </row>
    <row r="4177" spans="1:5" x14ac:dyDescent="0.3">
      <c r="A4177" s="8">
        <v>325</v>
      </c>
      <c r="B4177" s="8">
        <v>13</v>
      </c>
      <c r="C4177" s="10">
        <v>20</v>
      </c>
      <c r="D4177" s="10" t="s">
        <v>8</v>
      </c>
      <c r="E4177" s="9">
        <f>0.844-0.417-0.16</f>
        <v>0.26700000000000002</v>
      </c>
    </row>
    <row r="4178" spans="1:5" x14ac:dyDescent="0.3">
      <c r="A4178" s="8">
        <v>325</v>
      </c>
      <c r="B4178" s="8">
        <v>13</v>
      </c>
      <c r="C4178" s="8">
        <v>20</v>
      </c>
      <c r="D4178" s="8" t="s">
        <v>32</v>
      </c>
      <c r="E4178" s="9">
        <f>1.9+1.353+5.194+0.429+0.419+2.812-0.039+2.051-0.214</f>
        <v>13.904999999999999</v>
      </c>
    </row>
    <row r="4179" spans="1:5" x14ac:dyDescent="0.3">
      <c r="A4179" s="8">
        <v>325</v>
      </c>
      <c r="B4179" s="8">
        <v>13</v>
      </c>
      <c r="C4179" s="10">
        <v>20</v>
      </c>
      <c r="D4179" s="10" t="s">
        <v>32</v>
      </c>
      <c r="E4179" s="9">
        <f>0.441-0.211</f>
        <v>0.23</v>
      </c>
    </row>
    <row r="4180" spans="1:5" x14ac:dyDescent="0.3">
      <c r="A4180" s="8">
        <v>325</v>
      </c>
      <c r="B4180" s="8">
        <v>13</v>
      </c>
      <c r="C4180" s="8">
        <v>20</v>
      </c>
      <c r="D4180" s="8" t="s">
        <v>32</v>
      </c>
      <c r="E4180" s="9">
        <v>0.39900000000000002</v>
      </c>
    </row>
    <row r="4181" spans="1:5" x14ac:dyDescent="0.3">
      <c r="A4181" s="10">
        <v>325</v>
      </c>
      <c r="B4181" s="10">
        <v>14</v>
      </c>
      <c r="C4181" s="10">
        <v>20</v>
      </c>
      <c r="D4181" s="10" t="s">
        <v>1</v>
      </c>
      <c r="E4181" s="15">
        <f>4.2-0.461-0.081-0.223-0.213-0.958-0.274-0.114-0.126-0.734-0.126-0.113+5.31-0.568-0.081-0.055-0.058-0.048-0.113-0.066-0.082-0.136-0.158-0.168-0.034-0.158-0.153-0.113-0.115</f>
        <v>3.980999999999999</v>
      </c>
    </row>
    <row r="4182" spans="1:5" x14ac:dyDescent="0.3">
      <c r="A4182" s="10">
        <v>325</v>
      </c>
      <c r="B4182" s="10">
        <v>14</v>
      </c>
      <c r="C4182" s="10">
        <v>20</v>
      </c>
      <c r="D4182" s="10" t="s">
        <v>32</v>
      </c>
      <c r="E4182" s="15">
        <f>1.941-0.915-0.296-0.253-0.315</f>
        <v>0.16199999999999998</v>
      </c>
    </row>
    <row r="4183" spans="1:5" x14ac:dyDescent="0.3">
      <c r="A4183" s="8">
        <v>325</v>
      </c>
      <c r="B4183" s="8">
        <v>14</v>
      </c>
      <c r="C4183" s="8">
        <v>20</v>
      </c>
      <c r="D4183" s="8" t="s">
        <v>32</v>
      </c>
      <c r="E4183" s="9">
        <f>1.267+0.465</f>
        <v>1.732</v>
      </c>
    </row>
    <row r="4184" spans="1:5" x14ac:dyDescent="0.3">
      <c r="A4184" s="10">
        <v>325</v>
      </c>
      <c r="B4184" s="10">
        <v>14</v>
      </c>
      <c r="C4184" s="10">
        <v>20</v>
      </c>
      <c r="D4184" s="10" t="s">
        <v>32</v>
      </c>
      <c r="E4184" s="15">
        <v>0.61</v>
      </c>
    </row>
    <row r="4185" spans="1:5" x14ac:dyDescent="0.3">
      <c r="A4185" s="8">
        <v>325</v>
      </c>
      <c r="B4185" s="8">
        <v>14</v>
      </c>
      <c r="C4185" s="8">
        <v>20</v>
      </c>
      <c r="D4185" s="8" t="s">
        <v>32</v>
      </c>
      <c r="E4185" s="9">
        <f>3.756-0.61-0.465</f>
        <v>2.681</v>
      </c>
    </row>
    <row r="4186" spans="1:5" x14ac:dyDescent="0.3">
      <c r="A4186" s="10">
        <v>325</v>
      </c>
      <c r="B4186" s="10">
        <v>14</v>
      </c>
      <c r="C4186" s="10" t="s">
        <v>26</v>
      </c>
      <c r="D4186" s="10" t="s">
        <v>7</v>
      </c>
      <c r="E4186" s="15">
        <f>3.923-0.032-1.962+0.169+0.17-0.331-0.528</f>
        <v>1.4089999999999998</v>
      </c>
    </row>
    <row r="4187" spans="1:5" x14ac:dyDescent="0.3">
      <c r="A4187" s="10">
        <v>325</v>
      </c>
      <c r="B4187" s="10">
        <v>14</v>
      </c>
      <c r="C4187" s="10" t="s">
        <v>26</v>
      </c>
      <c r="D4187" s="10" t="s">
        <v>22</v>
      </c>
      <c r="E4187" s="15">
        <f>2.04-0.241-0.058-0.678</f>
        <v>1.0629999999999997</v>
      </c>
    </row>
    <row r="4188" spans="1:5" x14ac:dyDescent="0.3">
      <c r="A4188" s="10">
        <v>325</v>
      </c>
      <c r="B4188" s="10">
        <v>14</v>
      </c>
      <c r="C4188" s="10" t="s">
        <v>26</v>
      </c>
      <c r="D4188" s="10" t="s">
        <v>134</v>
      </c>
      <c r="E4188" s="15">
        <v>1.2889999999999999</v>
      </c>
    </row>
    <row r="4189" spans="1:5" x14ac:dyDescent="0.3">
      <c r="A4189" s="8">
        <v>325</v>
      </c>
      <c r="B4189" s="8">
        <v>14</v>
      </c>
      <c r="C4189" s="8" t="s">
        <v>37</v>
      </c>
      <c r="D4189" s="8" t="s">
        <v>1</v>
      </c>
      <c r="E4189" s="9">
        <v>0.98099999999999998</v>
      </c>
    </row>
    <row r="4190" spans="1:5" x14ac:dyDescent="0.3">
      <c r="A4190" s="8">
        <v>325</v>
      </c>
      <c r="B4190" s="8">
        <v>14</v>
      </c>
      <c r="C4190" s="8" t="s">
        <v>31</v>
      </c>
      <c r="D4190" s="8" t="s">
        <v>32</v>
      </c>
      <c r="E4190" s="9">
        <v>15</v>
      </c>
    </row>
    <row r="4191" spans="1:5" x14ac:dyDescent="0.3">
      <c r="A4191" s="10">
        <v>325</v>
      </c>
      <c r="B4191" s="10">
        <v>15</v>
      </c>
      <c r="C4191" s="10">
        <v>20</v>
      </c>
      <c r="D4191" s="10" t="s">
        <v>1</v>
      </c>
      <c r="E4191" s="15">
        <f>0.653-0.12-0.054-0.356+0.002-0.109</f>
        <v>1.6000000000000056E-2</v>
      </c>
    </row>
    <row r="4192" spans="1:5" x14ac:dyDescent="0.3">
      <c r="A4192" s="10">
        <v>325</v>
      </c>
      <c r="B4192" s="10">
        <v>15</v>
      </c>
      <c r="C4192" s="10">
        <v>20</v>
      </c>
      <c r="D4192" s="10" t="s">
        <v>1</v>
      </c>
      <c r="E4192" s="15">
        <f>0.356-0.305</f>
        <v>5.099999999999999E-2</v>
      </c>
    </row>
    <row r="4193" spans="1:5" x14ac:dyDescent="0.3">
      <c r="A4193" s="10">
        <v>325</v>
      </c>
      <c r="B4193" s="10">
        <v>15</v>
      </c>
      <c r="C4193" s="10">
        <v>20</v>
      </c>
      <c r="D4193" s="10" t="s">
        <v>32</v>
      </c>
      <c r="E4193" s="15">
        <v>0.63</v>
      </c>
    </row>
    <row r="4194" spans="1:5" x14ac:dyDescent="0.3">
      <c r="A4194" s="8">
        <v>325</v>
      </c>
      <c r="B4194" s="8">
        <v>15</v>
      </c>
      <c r="C4194" s="8">
        <v>20</v>
      </c>
      <c r="D4194" s="8" t="s">
        <v>32</v>
      </c>
      <c r="E4194" s="9">
        <f>1.222-0.63</f>
        <v>0.59199999999999997</v>
      </c>
    </row>
    <row r="4195" spans="1:5" x14ac:dyDescent="0.3">
      <c r="A4195" s="10">
        <v>325</v>
      </c>
      <c r="B4195" s="10">
        <v>15</v>
      </c>
      <c r="C4195" s="13" t="s">
        <v>26</v>
      </c>
      <c r="D4195" s="10" t="s">
        <v>1</v>
      </c>
      <c r="E4195" s="15">
        <f>9.067-1.932+1.017-0.342-0.063-0.294-0.237-0.08-0.096-0.2-0.12-0.155-0.143-0.225-0.328-0.421-0.353-0.133-0.119-0.112-0.218-0.238-0.193-0.062-2.041-0.057-0.364-0.468-0.202</f>
        <v>0.88800000000000079</v>
      </c>
    </row>
    <row r="4196" spans="1:5" x14ac:dyDescent="0.3">
      <c r="A4196" s="10">
        <v>325</v>
      </c>
      <c r="B4196" s="10">
        <v>16</v>
      </c>
      <c r="C4196" s="10" t="s">
        <v>87</v>
      </c>
      <c r="D4196" s="10" t="s">
        <v>7</v>
      </c>
      <c r="E4196" s="15">
        <f>0.244-0.18</f>
        <v>6.4000000000000001E-2</v>
      </c>
    </row>
    <row r="4197" spans="1:5" x14ac:dyDescent="0.3">
      <c r="A4197" s="10">
        <v>325</v>
      </c>
      <c r="B4197" s="10">
        <v>16</v>
      </c>
      <c r="C4197" s="10">
        <v>20</v>
      </c>
      <c r="D4197" s="10" t="s">
        <v>1</v>
      </c>
      <c r="E4197" s="15">
        <f>0.89-0.043+0.751-0.499-0.366-0.277-0.17-0.055+0.023-0.143+1.19+0.641+0.125-0.113-0.126-0.02-0.244-1.191-0.168+5.485-0.129-0.217-0.33-0.358-0.16-0.253-0.017-0.131-0.237-0.254-0.752-0.14-0.131-0.16-0.839-0.365-0.352</f>
        <v>0.86499999999999944</v>
      </c>
    </row>
    <row r="4198" spans="1:5" x14ac:dyDescent="0.3">
      <c r="A4198" s="8">
        <v>325</v>
      </c>
      <c r="B4198" s="8">
        <v>16</v>
      </c>
      <c r="C4198" s="8">
        <v>20</v>
      </c>
      <c r="D4198" s="8" t="s">
        <v>32</v>
      </c>
      <c r="E4198" s="9">
        <f>0.824+0.634-0.07-0.138+0.98+0.98</f>
        <v>3.21</v>
      </c>
    </row>
    <row r="4199" spans="1:5" x14ac:dyDescent="0.3">
      <c r="A4199" s="8">
        <v>325</v>
      </c>
      <c r="B4199" s="8">
        <v>16</v>
      </c>
      <c r="C4199" s="8">
        <v>20</v>
      </c>
      <c r="D4199" s="8" t="s">
        <v>32</v>
      </c>
      <c r="E4199" s="9">
        <f>2.482-0.98-0.98</f>
        <v>0.52200000000000024</v>
      </c>
    </row>
    <row r="4200" spans="1:5" x14ac:dyDescent="0.3">
      <c r="A4200" s="8">
        <v>325</v>
      </c>
      <c r="B4200" s="8">
        <v>16</v>
      </c>
      <c r="C4200" s="8" t="s">
        <v>26</v>
      </c>
      <c r="D4200" s="8" t="s">
        <v>64</v>
      </c>
      <c r="E4200" s="9">
        <v>5</v>
      </c>
    </row>
    <row r="4201" spans="1:5" x14ac:dyDescent="0.3">
      <c r="A4201" s="10">
        <v>325</v>
      </c>
      <c r="B4201" s="10">
        <v>16</v>
      </c>
      <c r="C4201" s="10" t="s">
        <v>37</v>
      </c>
      <c r="D4201" s="10" t="s">
        <v>7</v>
      </c>
      <c r="E4201" s="15">
        <f>1.479+1.39+1.463-0.189-0.241-1.48-1.479-0.164</f>
        <v>0.77899999999999958</v>
      </c>
    </row>
    <row r="4202" spans="1:5" x14ac:dyDescent="0.3">
      <c r="A4202" s="10">
        <v>325</v>
      </c>
      <c r="B4202" s="10">
        <v>16</v>
      </c>
      <c r="C4202" s="10" t="s">
        <v>37</v>
      </c>
      <c r="D4202" s="10" t="s">
        <v>134</v>
      </c>
      <c r="E4202" s="15">
        <v>1.1459999999999999</v>
      </c>
    </row>
    <row r="4203" spans="1:5" x14ac:dyDescent="0.3">
      <c r="A4203" s="10">
        <v>325</v>
      </c>
      <c r="B4203" s="10">
        <v>16</v>
      </c>
      <c r="C4203" s="10" t="s">
        <v>37</v>
      </c>
      <c r="D4203" s="10" t="s">
        <v>1</v>
      </c>
      <c r="E4203" s="15">
        <v>1.4179999999999999</v>
      </c>
    </row>
    <row r="4204" spans="1:5" x14ac:dyDescent="0.3">
      <c r="A4204" s="8">
        <v>325</v>
      </c>
      <c r="B4204" s="8">
        <v>16</v>
      </c>
      <c r="C4204" s="8" t="s">
        <v>31</v>
      </c>
      <c r="D4204" s="8" t="s">
        <v>32</v>
      </c>
      <c r="E4204" s="9">
        <f>1.09+1.525+0.615-0.49</f>
        <v>2.74</v>
      </c>
    </row>
    <row r="4205" spans="1:5" x14ac:dyDescent="0.3">
      <c r="A4205" s="8">
        <v>325</v>
      </c>
      <c r="B4205" s="8">
        <v>16</v>
      </c>
      <c r="C4205" s="8" t="s">
        <v>31</v>
      </c>
      <c r="D4205" s="8" t="s">
        <v>32</v>
      </c>
      <c r="E4205" s="9">
        <f>5-1.09-1.525-0.615</f>
        <v>1.7700000000000002</v>
      </c>
    </row>
    <row r="4206" spans="1:5" x14ac:dyDescent="0.3">
      <c r="A4206" s="10">
        <v>325</v>
      </c>
      <c r="B4206" s="10">
        <v>17</v>
      </c>
      <c r="C4206" s="10" t="s">
        <v>26</v>
      </c>
      <c r="D4206" s="10" t="s">
        <v>1</v>
      </c>
      <c r="E4206" s="15">
        <f>0.94-0.135</f>
        <v>0.80499999999999994</v>
      </c>
    </row>
    <row r="4207" spans="1:5" x14ac:dyDescent="0.3">
      <c r="A4207" s="10">
        <v>325</v>
      </c>
      <c r="B4207" s="10">
        <v>18</v>
      </c>
      <c r="C4207" s="10">
        <v>20</v>
      </c>
      <c r="D4207" s="10" t="s">
        <v>1</v>
      </c>
      <c r="E4207" s="15">
        <f>6.461-0.145-0.076-0.109-0.145</f>
        <v>5.9860000000000015</v>
      </c>
    </row>
    <row r="4208" spans="1:5" x14ac:dyDescent="0.3">
      <c r="A4208" s="10">
        <v>325</v>
      </c>
      <c r="B4208" s="10">
        <v>18</v>
      </c>
      <c r="C4208" s="10">
        <v>20</v>
      </c>
      <c r="D4208" s="10" t="s">
        <v>32</v>
      </c>
      <c r="E4208" s="15">
        <f>0.52-0.16+3.577-0.16</f>
        <v>3.7769999999999997</v>
      </c>
    </row>
    <row r="4209" spans="1:5" x14ac:dyDescent="0.3">
      <c r="A4209" s="10">
        <v>325</v>
      </c>
      <c r="B4209" s="10">
        <v>18</v>
      </c>
      <c r="C4209" s="10" t="s">
        <v>26</v>
      </c>
      <c r="D4209" s="10" t="s">
        <v>1</v>
      </c>
      <c r="E4209" s="15">
        <f>9.713-1.631-0.096-0.072-0.082-0.076-0.276-0.98-0.143-1.679-0.375-0.102-0.438-0.103-0.42-0.069-0.825+2.812-0.189-0.074-0.074-0.141-0.177-0.364-0.265-0.099-0.28-0.11-0.212-0.321-0.188-0.032-1.634-0.107-0.026-0.212-0.144-0.11-0.035-0.382+0.034</f>
        <v>1.5999999999999764E-2</v>
      </c>
    </row>
    <row r="4210" spans="1:5" x14ac:dyDescent="0.3">
      <c r="A4210" s="10">
        <v>325</v>
      </c>
      <c r="B4210" s="10">
        <v>18</v>
      </c>
      <c r="C4210" s="10" t="s">
        <v>26</v>
      </c>
      <c r="D4210" s="10" t="s">
        <v>1</v>
      </c>
      <c r="E4210" s="15">
        <f>3.169+1.4-0.417-0.346-0.64-0.581-0.143+0.143-0.156</f>
        <v>2.4289999999999998</v>
      </c>
    </row>
    <row r="4211" spans="1:5" x14ac:dyDescent="0.3">
      <c r="A4211" s="8">
        <v>325</v>
      </c>
      <c r="B4211" s="8">
        <v>18</v>
      </c>
      <c r="C4211" s="8">
        <v>35</v>
      </c>
      <c r="D4211" s="8" t="s">
        <v>1</v>
      </c>
      <c r="E4211" s="9">
        <f>1.022-0.225-0.15-0.074</f>
        <v>0.57300000000000006</v>
      </c>
    </row>
    <row r="4212" spans="1:5" x14ac:dyDescent="0.3">
      <c r="A4212" s="10">
        <v>325</v>
      </c>
      <c r="B4212" s="10">
        <v>18</v>
      </c>
      <c r="C4212" s="10" t="s">
        <v>37</v>
      </c>
      <c r="D4212" s="10" t="s">
        <v>1</v>
      </c>
      <c r="E4212" s="15">
        <f>1.58-0.158+1.513-0.168-0.213-0.286-0.279-0.284+0.97</f>
        <v>2.6749999999999998</v>
      </c>
    </row>
    <row r="4213" spans="1:5" x14ac:dyDescent="0.3">
      <c r="A4213" s="10">
        <v>325</v>
      </c>
      <c r="B4213" s="10">
        <v>18</v>
      </c>
      <c r="C4213" s="10" t="s">
        <v>86</v>
      </c>
      <c r="D4213" s="10" t="s">
        <v>1</v>
      </c>
      <c r="E4213" s="15">
        <v>1.865</v>
      </c>
    </row>
    <row r="4214" spans="1:5" x14ac:dyDescent="0.3">
      <c r="A4214" s="10">
        <v>325</v>
      </c>
      <c r="B4214" s="10">
        <v>18</v>
      </c>
      <c r="C4214" s="10" t="s">
        <v>31</v>
      </c>
      <c r="D4214" s="10" t="s">
        <v>32</v>
      </c>
      <c r="E4214" s="15">
        <f>0.97+0.93</f>
        <v>1.9</v>
      </c>
    </row>
    <row r="4215" spans="1:5" x14ac:dyDescent="0.3">
      <c r="A4215" s="8">
        <v>325</v>
      </c>
      <c r="B4215" s="8">
        <v>18</v>
      </c>
      <c r="C4215" s="8" t="s">
        <v>31</v>
      </c>
      <c r="D4215" s="8" t="s">
        <v>32</v>
      </c>
      <c r="E4215" s="9">
        <f>5-0.97-0.93</f>
        <v>3.1</v>
      </c>
    </row>
    <row r="4216" spans="1:5" x14ac:dyDescent="0.3">
      <c r="A4216" s="8">
        <v>325</v>
      </c>
      <c r="B4216" s="8">
        <v>18</v>
      </c>
      <c r="C4216" s="8" t="s">
        <v>29</v>
      </c>
      <c r="D4216" s="8" t="s">
        <v>49</v>
      </c>
      <c r="E4216" s="9">
        <f>0.575-0.05</f>
        <v>0.52499999999999991</v>
      </c>
    </row>
    <row r="4217" spans="1:5" x14ac:dyDescent="0.3">
      <c r="A4217" s="10">
        <v>325</v>
      </c>
      <c r="B4217" s="10">
        <v>19</v>
      </c>
      <c r="C4217" s="10">
        <v>20</v>
      </c>
      <c r="D4217" s="10" t="s">
        <v>32</v>
      </c>
      <c r="E4217" s="15">
        <f>3.602-1.21+5.555+0.886+4.07+1.602-10.414</f>
        <v>4.0909999999999993</v>
      </c>
    </row>
    <row r="4218" spans="1:5" x14ac:dyDescent="0.3">
      <c r="A4218" s="8">
        <v>325</v>
      </c>
      <c r="B4218" s="8">
        <v>19</v>
      </c>
      <c r="C4218" s="8" t="s">
        <v>35</v>
      </c>
      <c r="D4218" s="8" t="s">
        <v>32</v>
      </c>
      <c r="E4218" s="9">
        <v>5</v>
      </c>
    </row>
    <row r="4219" spans="1:5" x14ac:dyDescent="0.3">
      <c r="A4219" s="10">
        <v>325</v>
      </c>
      <c r="B4219" s="10">
        <v>20</v>
      </c>
      <c r="C4219" s="10">
        <v>20</v>
      </c>
      <c r="D4219" s="10" t="s">
        <v>7</v>
      </c>
      <c r="E4219" s="15">
        <v>1.6930000000000001</v>
      </c>
    </row>
    <row r="4220" spans="1:5" x14ac:dyDescent="0.3">
      <c r="A4220" s="10">
        <v>325</v>
      </c>
      <c r="B4220" s="10">
        <v>20</v>
      </c>
      <c r="C4220" s="10">
        <v>20</v>
      </c>
      <c r="D4220" s="10" t="s">
        <v>22</v>
      </c>
      <c r="E4220" s="15">
        <v>1.4590000000000001</v>
      </c>
    </row>
    <row r="4221" spans="1:5" x14ac:dyDescent="0.3">
      <c r="A4221" s="10">
        <v>325</v>
      </c>
      <c r="B4221" s="10">
        <v>20</v>
      </c>
      <c r="C4221" s="10">
        <v>20</v>
      </c>
      <c r="D4221" s="10" t="s">
        <v>90</v>
      </c>
      <c r="E4221" s="15">
        <f>11.192+3.61-7.307</f>
        <v>7.4949999999999992</v>
      </c>
    </row>
    <row r="4222" spans="1:5" x14ac:dyDescent="0.3">
      <c r="A4222" s="10">
        <v>325</v>
      </c>
      <c r="B4222" s="10">
        <v>20</v>
      </c>
      <c r="C4222" s="10">
        <v>20</v>
      </c>
      <c r="D4222" s="10" t="s">
        <v>1</v>
      </c>
      <c r="E4222" s="15">
        <f>1.762+3.566-0.09-0.056+9.67-0.271-0.148-0.062-0.469-0.163-0.397-0.163-0.202-0.11-1.225-0.209-0.347-0.24-0.702-0.123-0.24</f>
        <v>9.7810000000000024</v>
      </c>
    </row>
    <row r="4223" spans="1:5" x14ac:dyDescent="0.3">
      <c r="A4223" s="10">
        <v>325</v>
      </c>
      <c r="B4223" s="10">
        <v>20</v>
      </c>
      <c r="C4223" s="10">
        <v>20</v>
      </c>
      <c r="D4223" s="10" t="s">
        <v>32</v>
      </c>
      <c r="E4223" s="15">
        <f>0.692-0.517</f>
        <v>0.17499999999999993</v>
      </c>
    </row>
    <row r="4224" spans="1:5" x14ac:dyDescent="0.3">
      <c r="A4224" s="8">
        <v>325</v>
      </c>
      <c r="B4224" s="8">
        <v>20</v>
      </c>
      <c r="C4224" s="8">
        <v>20</v>
      </c>
      <c r="D4224" s="8" t="s">
        <v>32</v>
      </c>
      <c r="E4224" s="9">
        <v>0.78</v>
      </c>
    </row>
    <row r="4225" spans="1:5" x14ac:dyDescent="0.3">
      <c r="A4225" s="10">
        <v>325</v>
      </c>
      <c r="B4225" s="10">
        <v>20</v>
      </c>
      <c r="C4225" s="10" t="s">
        <v>26</v>
      </c>
      <c r="D4225" s="10" t="s">
        <v>1</v>
      </c>
      <c r="E4225" s="15">
        <f>11.249-1.754-0.163-1.715-0.285-0.486-0.473-0.098+7.95-0.208-0.149-0.782-0.547-0.192-0.194-0.117-1.01-0.072-0.067-0.078-0.192-0.078-0.148-0.161-0.089-0.072-0.175-0.316-0.161-0.144-0.084+1.664</f>
        <v>10.853000000000002</v>
      </c>
    </row>
    <row r="4226" spans="1:5" x14ac:dyDescent="0.3">
      <c r="A4226" s="8">
        <v>325</v>
      </c>
      <c r="B4226" s="8">
        <v>20</v>
      </c>
      <c r="C4226" s="8" t="s">
        <v>26</v>
      </c>
      <c r="D4226" s="8" t="s">
        <v>1</v>
      </c>
      <c r="E4226" s="9">
        <f>3.413-1.664</f>
        <v>1.7489999999999999</v>
      </c>
    </row>
    <row r="4227" spans="1:5" x14ac:dyDescent="0.3">
      <c r="A4227" s="10">
        <v>325</v>
      </c>
      <c r="B4227" s="10">
        <v>20</v>
      </c>
      <c r="C4227" s="10" t="s">
        <v>169</v>
      </c>
      <c r="D4227" s="10" t="s">
        <v>179</v>
      </c>
      <c r="E4227" s="15">
        <v>2.319</v>
      </c>
    </row>
    <row r="4228" spans="1:5" x14ac:dyDescent="0.3">
      <c r="A4228" s="10">
        <v>325</v>
      </c>
      <c r="B4228" s="10">
        <v>20</v>
      </c>
      <c r="C4228" s="10" t="s">
        <v>37</v>
      </c>
      <c r="D4228" s="10" t="s">
        <v>1</v>
      </c>
      <c r="E4228" s="15">
        <f>5.178+0.053</f>
        <v>5.2309999999999999</v>
      </c>
    </row>
    <row r="4229" spans="1:5" x14ac:dyDescent="0.3">
      <c r="A4229" s="10">
        <v>325</v>
      </c>
      <c r="B4229" s="10">
        <v>20</v>
      </c>
      <c r="C4229" s="10" t="s">
        <v>79</v>
      </c>
      <c r="D4229" s="10" t="s">
        <v>147</v>
      </c>
      <c r="E4229" s="15">
        <v>8.7989999999999995</v>
      </c>
    </row>
    <row r="4230" spans="1:5" x14ac:dyDescent="0.3">
      <c r="A4230" s="10">
        <v>325</v>
      </c>
      <c r="B4230" s="10">
        <v>20</v>
      </c>
      <c r="C4230" s="10" t="s">
        <v>28</v>
      </c>
      <c r="D4230" s="10" t="s">
        <v>1</v>
      </c>
      <c r="E4230" s="15">
        <f>5.026-1.042-0.22-0.037+3.638+1.81-0.303-1.11</f>
        <v>7.7619999999999996</v>
      </c>
    </row>
    <row r="4231" spans="1:5" x14ac:dyDescent="0.3">
      <c r="A4231" s="8">
        <v>325</v>
      </c>
      <c r="B4231" s="8">
        <v>20</v>
      </c>
      <c r="C4231" s="8" t="s">
        <v>30</v>
      </c>
      <c r="D4231" s="8" t="s">
        <v>1</v>
      </c>
      <c r="E4231" s="9">
        <v>10</v>
      </c>
    </row>
    <row r="4232" spans="1:5" x14ac:dyDescent="0.3">
      <c r="A4232" s="10">
        <v>325</v>
      </c>
      <c r="B4232" s="10">
        <v>22</v>
      </c>
      <c r="C4232" s="10" t="s">
        <v>26</v>
      </c>
      <c r="D4232" s="10" t="s">
        <v>20</v>
      </c>
      <c r="E4232" s="15">
        <f>3.292-0.782-0.006-0.042-0.058-0.193-0.075-0.057-0.572</f>
        <v>1.5070000000000001</v>
      </c>
    </row>
    <row r="4233" spans="1:5" x14ac:dyDescent="0.3">
      <c r="A4233" s="10">
        <v>325</v>
      </c>
      <c r="B4233" s="10">
        <v>22</v>
      </c>
      <c r="C4233" s="10" t="s">
        <v>26</v>
      </c>
      <c r="D4233" s="8" t="s">
        <v>64</v>
      </c>
      <c r="E4233" s="15">
        <f>1.646+8.588-0.122-0.174-0.042-0.108-0.075-0.701-0.524-0.734-0.287-0.195</f>
        <v>7.2719999999999994</v>
      </c>
    </row>
    <row r="4234" spans="1:5" x14ac:dyDescent="0.3">
      <c r="A4234" s="10">
        <v>325</v>
      </c>
      <c r="B4234" s="10">
        <v>22</v>
      </c>
      <c r="C4234" s="10">
        <v>35</v>
      </c>
      <c r="D4234" s="10" t="s">
        <v>1</v>
      </c>
      <c r="E4234" s="15">
        <f>5.419-1.376-1.32-1.359+6.601-0.628</f>
        <v>7.3369999999999989</v>
      </c>
    </row>
    <row r="4235" spans="1:5" x14ac:dyDescent="0.3">
      <c r="A4235" s="8">
        <v>325</v>
      </c>
      <c r="B4235" s="8">
        <v>22</v>
      </c>
      <c r="C4235" s="8" t="s">
        <v>37</v>
      </c>
      <c r="D4235" s="10" t="s">
        <v>135</v>
      </c>
      <c r="E4235" s="9">
        <f>7.345-4.02-0.227-0.227-2.025+1.849</f>
        <v>2.6950000000000003</v>
      </c>
    </row>
    <row r="4236" spans="1:5" x14ac:dyDescent="0.3">
      <c r="A4236" s="10">
        <v>325</v>
      </c>
      <c r="B4236" s="10">
        <v>22</v>
      </c>
      <c r="C4236" s="10" t="s">
        <v>36</v>
      </c>
      <c r="D4236" s="10" t="s">
        <v>1</v>
      </c>
      <c r="E4236" s="15">
        <v>1.024</v>
      </c>
    </row>
    <row r="4237" spans="1:5" x14ac:dyDescent="0.3">
      <c r="A4237" s="10">
        <v>325</v>
      </c>
      <c r="B4237" s="10">
        <v>22</v>
      </c>
      <c r="C4237" s="10" t="s">
        <v>35</v>
      </c>
      <c r="D4237" s="10" t="s">
        <v>32</v>
      </c>
      <c r="E4237" s="15">
        <f>1.168-0.457-0.095</f>
        <v>0.61599999999999988</v>
      </c>
    </row>
    <row r="4238" spans="1:5" x14ac:dyDescent="0.3">
      <c r="A4238" s="10">
        <v>325</v>
      </c>
      <c r="B4238" s="10">
        <v>22</v>
      </c>
      <c r="C4238" s="10" t="s">
        <v>31</v>
      </c>
      <c r="D4238" s="10" t="s">
        <v>32</v>
      </c>
      <c r="E4238" s="15">
        <f>5.1-0.724-0.19-0.1-3.296+1.97</f>
        <v>2.76</v>
      </c>
    </row>
    <row r="4239" spans="1:5" x14ac:dyDescent="0.3">
      <c r="A4239" s="8">
        <v>325</v>
      </c>
      <c r="B4239" s="8">
        <v>22</v>
      </c>
      <c r="C4239" s="8" t="s">
        <v>31</v>
      </c>
      <c r="D4239" s="8" t="s">
        <v>32</v>
      </c>
      <c r="E4239" s="9">
        <f>5-1.97</f>
        <v>3.0300000000000002</v>
      </c>
    </row>
    <row r="4240" spans="1:5" x14ac:dyDescent="0.3">
      <c r="A4240" s="10">
        <v>325</v>
      </c>
      <c r="B4240" s="10">
        <v>22</v>
      </c>
      <c r="C4240" s="10" t="s">
        <v>29</v>
      </c>
      <c r="D4240" s="10" t="s">
        <v>3</v>
      </c>
      <c r="E4240" s="15">
        <f>5.116-0.104</f>
        <v>5.0119999999999996</v>
      </c>
    </row>
    <row r="4241" spans="1:5" x14ac:dyDescent="0.3">
      <c r="A4241" s="10">
        <v>325</v>
      </c>
      <c r="B4241" s="10">
        <v>24</v>
      </c>
      <c r="C4241" s="10" t="s">
        <v>26</v>
      </c>
      <c r="D4241" s="10" t="s">
        <v>1</v>
      </c>
      <c r="E4241" s="15">
        <f>21.467-0.279-0.196-4.284-0.241-4.171-5.703-0.081-0.297-0.097-0.455-0.094-0.166</f>
        <v>5.4029999999999978</v>
      </c>
    </row>
    <row r="4242" spans="1:5" x14ac:dyDescent="0.3">
      <c r="A4242" s="10">
        <v>325</v>
      </c>
      <c r="B4242" s="10">
        <v>24</v>
      </c>
      <c r="C4242" s="10" t="s">
        <v>35</v>
      </c>
      <c r="D4242" s="10" t="s">
        <v>32</v>
      </c>
      <c r="E4242" s="15">
        <f>3.864-0.394+1.403-0.392</f>
        <v>4.480999999999999</v>
      </c>
    </row>
    <row r="4243" spans="1:5" x14ac:dyDescent="0.3">
      <c r="A4243" s="8">
        <v>325</v>
      </c>
      <c r="B4243" s="8">
        <v>24</v>
      </c>
      <c r="C4243" s="8" t="s">
        <v>35</v>
      </c>
      <c r="D4243" s="8" t="s">
        <v>32</v>
      </c>
      <c r="E4243" s="9">
        <v>3.641</v>
      </c>
    </row>
    <row r="4244" spans="1:5" x14ac:dyDescent="0.3">
      <c r="A4244" s="10">
        <v>325</v>
      </c>
      <c r="B4244" s="10">
        <v>24</v>
      </c>
      <c r="C4244" s="10" t="s">
        <v>37</v>
      </c>
      <c r="D4244" s="10" t="s">
        <v>1</v>
      </c>
      <c r="E4244" s="15">
        <f>3.386-0.776-0.837-0.024-0.023-0.607-0.188-0.184</f>
        <v>0.74700000000000055</v>
      </c>
    </row>
    <row r="4245" spans="1:5" x14ac:dyDescent="0.3">
      <c r="A4245" s="8">
        <v>325</v>
      </c>
      <c r="B4245" s="8">
        <v>24</v>
      </c>
      <c r="C4245" s="8" t="s">
        <v>31</v>
      </c>
      <c r="D4245" s="8" t="s">
        <v>32</v>
      </c>
      <c r="E4245" s="9">
        <f>1.824-1.344+0.048</f>
        <v>0.52800000000000002</v>
      </c>
    </row>
    <row r="4246" spans="1:5" x14ac:dyDescent="0.3">
      <c r="A4246" s="8">
        <v>325</v>
      </c>
      <c r="B4246" s="8">
        <v>25</v>
      </c>
      <c r="C4246" s="8">
        <v>20</v>
      </c>
      <c r="D4246" s="8" t="s">
        <v>1</v>
      </c>
      <c r="E4246" s="9">
        <v>5</v>
      </c>
    </row>
    <row r="4247" spans="1:5" x14ac:dyDescent="0.3">
      <c r="A4247" s="8">
        <v>325</v>
      </c>
      <c r="B4247" s="8">
        <v>25</v>
      </c>
      <c r="C4247" s="8">
        <v>20</v>
      </c>
      <c r="D4247" s="8" t="s">
        <v>1</v>
      </c>
      <c r="E4247" s="9">
        <v>1.3959999999999999</v>
      </c>
    </row>
    <row r="4248" spans="1:5" x14ac:dyDescent="0.3">
      <c r="A4248" s="8">
        <v>325</v>
      </c>
      <c r="B4248" s="8">
        <v>25</v>
      </c>
      <c r="C4248" s="8">
        <v>20</v>
      </c>
      <c r="D4248" s="8" t="s">
        <v>32</v>
      </c>
      <c r="E4248" s="9">
        <v>5</v>
      </c>
    </row>
    <row r="4249" spans="1:5" x14ac:dyDescent="0.3">
      <c r="A4249" s="8">
        <v>325</v>
      </c>
      <c r="B4249" s="8">
        <v>25</v>
      </c>
      <c r="C4249" s="8" t="s">
        <v>26</v>
      </c>
      <c r="D4249" s="8" t="s">
        <v>1</v>
      </c>
      <c r="E4249" s="9">
        <v>1.752</v>
      </c>
    </row>
    <row r="4250" spans="1:5" x14ac:dyDescent="0.3">
      <c r="A4250" s="8">
        <v>325</v>
      </c>
      <c r="B4250" s="8">
        <v>25</v>
      </c>
      <c r="C4250" s="8" t="s">
        <v>26</v>
      </c>
      <c r="D4250" s="8" t="s">
        <v>64</v>
      </c>
      <c r="E4250" s="9">
        <v>5</v>
      </c>
    </row>
    <row r="4251" spans="1:5" x14ac:dyDescent="0.3">
      <c r="A4251" s="8">
        <v>325</v>
      </c>
      <c r="B4251" s="8">
        <v>25</v>
      </c>
      <c r="C4251" s="8">
        <v>35</v>
      </c>
      <c r="D4251" s="8" t="s">
        <v>1</v>
      </c>
      <c r="E4251" s="9">
        <f>1.432+1.328-0.03+3.12-0.103</f>
        <v>5.7469999999999999</v>
      </c>
    </row>
    <row r="4252" spans="1:5" x14ac:dyDescent="0.3">
      <c r="A4252" s="10">
        <v>325</v>
      </c>
      <c r="B4252" s="10">
        <v>25</v>
      </c>
      <c r="C4252" s="10" t="s">
        <v>28</v>
      </c>
      <c r="D4252" s="10" t="s">
        <v>1</v>
      </c>
      <c r="E4252" s="15">
        <f>11.566-0.378-0.381-4.141-0.307-4.715-0.119+10.084+2.046-0.196-0.027-0.846-0.051-0.848</f>
        <v>11.686999999999999</v>
      </c>
    </row>
    <row r="4253" spans="1:5" x14ac:dyDescent="0.3">
      <c r="A4253" s="8">
        <v>325</v>
      </c>
      <c r="B4253" s="8">
        <v>25</v>
      </c>
      <c r="C4253" s="8" t="s">
        <v>30</v>
      </c>
      <c r="D4253" s="8" t="s">
        <v>1</v>
      </c>
      <c r="E4253" s="9">
        <v>10</v>
      </c>
    </row>
    <row r="4254" spans="1:5" x14ac:dyDescent="0.3">
      <c r="A4254" s="8">
        <v>325</v>
      </c>
      <c r="B4254" s="8">
        <v>26</v>
      </c>
      <c r="C4254" s="8">
        <v>20</v>
      </c>
      <c r="D4254" s="8" t="s">
        <v>32</v>
      </c>
      <c r="E4254" s="9">
        <v>1.671</v>
      </c>
    </row>
    <row r="4255" spans="1:5" x14ac:dyDescent="0.3">
      <c r="A4255" s="8">
        <v>325</v>
      </c>
      <c r="B4255" s="8">
        <v>26</v>
      </c>
      <c r="C4255" s="8" t="s">
        <v>37</v>
      </c>
      <c r="D4255" s="8" t="s">
        <v>1</v>
      </c>
      <c r="E4255" s="9">
        <v>1.7430000000000001</v>
      </c>
    </row>
    <row r="4256" spans="1:5" x14ac:dyDescent="0.3">
      <c r="A4256" s="10">
        <v>325</v>
      </c>
      <c r="B4256" s="10">
        <v>26</v>
      </c>
      <c r="C4256" s="10" t="s">
        <v>31</v>
      </c>
      <c r="D4256" s="10" t="s">
        <v>32</v>
      </c>
      <c r="E4256" s="15">
        <f>1.381+7.759-4.032+1.581-4.211-0.148-1.333+8.496-1.406-0.977-0.215-0.795-0.394-2.837-1.43</f>
        <v>1.4389999999999994</v>
      </c>
    </row>
    <row r="4257" spans="1:5" x14ac:dyDescent="0.3">
      <c r="A4257" s="8">
        <v>325</v>
      </c>
      <c r="B4257" s="8">
        <v>26</v>
      </c>
      <c r="C4257" s="8" t="s">
        <v>31</v>
      </c>
      <c r="D4257" s="8" t="s">
        <v>32</v>
      </c>
      <c r="E4257" s="9">
        <v>5</v>
      </c>
    </row>
    <row r="4258" spans="1:5" x14ac:dyDescent="0.3">
      <c r="A4258" s="10">
        <v>325</v>
      </c>
      <c r="B4258" s="10">
        <v>26</v>
      </c>
      <c r="C4258" s="10" t="s">
        <v>45</v>
      </c>
      <c r="D4258" s="10" t="s">
        <v>32</v>
      </c>
      <c r="E4258" s="15">
        <f>4.761-0.031-0.062</f>
        <v>4.6680000000000001</v>
      </c>
    </row>
    <row r="4259" spans="1:5" x14ac:dyDescent="0.3">
      <c r="A4259" s="10">
        <v>325</v>
      </c>
      <c r="B4259" s="10">
        <v>28</v>
      </c>
      <c r="C4259" s="10">
        <v>20</v>
      </c>
      <c r="D4259" s="10" t="s">
        <v>1</v>
      </c>
      <c r="E4259" s="15">
        <f>4.132-2.017-1.26-0.042-0.394+6.128-0.256-0.83-0.2-0.873-0.33-0.675-0.161-0.871-0.365-0.873-0.11-0.256-0.07-0.153-0.112-0.439+0.178-0.081</f>
        <v>6.999999999999891E-2</v>
      </c>
    </row>
    <row r="4260" spans="1:5" x14ac:dyDescent="0.3">
      <c r="A4260" s="8">
        <v>325</v>
      </c>
      <c r="B4260" s="8">
        <v>28</v>
      </c>
      <c r="C4260" s="8">
        <v>20</v>
      </c>
      <c r="D4260" s="8" t="s">
        <v>1</v>
      </c>
      <c r="E4260" s="9">
        <v>5</v>
      </c>
    </row>
    <row r="4261" spans="1:5" x14ac:dyDescent="0.3">
      <c r="A4261" s="10">
        <v>325</v>
      </c>
      <c r="B4261" s="10">
        <v>28</v>
      </c>
      <c r="C4261" s="10" t="s">
        <v>26</v>
      </c>
      <c r="D4261" s="10" t="s">
        <v>1</v>
      </c>
      <c r="E4261" s="15">
        <f>18.829-0.097-0.072-1.265-0.112-0.607-2.367-0.47-0.219-0.41-0.361+12.228+4.806-0.447-0.063-12.228-0.265+12.228-0.217-8.125-2.155-0.47-0.533-0.217-1.775-0.886-0.472-0.23-0.204-0.575-0.158-0.284-0.105-0.12-0.097-0.116-0.091-0.219</f>
        <v>12.059000000000008</v>
      </c>
    </row>
    <row r="4262" spans="1:5" x14ac:dyDescent="0.3">
      <c r="A4262" s="8">
        <v>325</v>
      </c>
      <c r="B4262" s="8">
        <v>28</v>
      </c>
      <c r="C4262" s="8">
        <v>35</v>
      </c>
      <c r="D4262" s="8" t="s">
        <v>1</v>
      </c>
      <c r="E4262" s="9">
        <f>2.034+2.05+2.072</f>
        <v>6.1559999999999997</v>
      </c>
    </row>
    <row r="4263" spans="1:5" x14ac:dyDescent="0.3">
      <c r="A4263" s="8">
        <v>325</v>
      </c>
      <c r="B4263" s="8">
        <v>28</v>
      </c>
      <c r="C4263" s="8" t="s">
        <v>35</v>
      </c>
      <c r="D4263" s="8" t="s">
        <v>32</v>
      </c>
      <c r="E4263" s="9">
        <f>6.97-0.472-0.331-0.285-0.196-0.069</f>
        <v>5.6169999999999991</v>
      </c>
    </row>
    <row r="4264" spans="1:5" x14ac:dyDescent="0.3">
      <c r="A4264" s="8">
        <v>325</v>
      </c>
      <c r="B4264" s="8">
        <v>30</v>
      </c>
      <c r="C4264" s="8">
        <v>20</v>
      </c>
      <c r="D4264" s="8" t="s">
        <v>1</v>
      </c>
      <c r="E4264" s="9">
        <v>5</v>
      </c>
    </row>
    <row r="4265" spans="1:5" x14ac:dyDescent="0.3">
      <c r="A4265" s="10">
        <v>325</v>
      </c>
      <c r="B4265" s="10">
        <v>30</v>
      </c>
      <c r="C4265" s="10" t="s">
        <v>26</v>
      </c>
      <c r="D4265" s="10" t="s">
        <v>1</v>
      </c>
      <c r="E4265" s="15">
        <f>25.85+21.158-4.655-0.451-0.194-0.231-0.282-0.231-0.343-7.525-0.23-0.183-0.363-1.341-0.449-0.157-13.971-1.198-1.124-0.585-0.077-0.418-0.198-0.418-0.359</f>
        <v>12.024999999999999</v>
      </c>
    </row>
    <row r="4266" spans="1:5" x14ac:dyDescent="0.3">
      <c r="A4266" s="10">
        <v>325</v>
      </c>
      <c r="B4266" s="10">
        <v>30</v>
      </c>
      <c r="C4266" s="10">
        <v>35</v>
      </c>
      <c r="D4266" s="10" t="s">
        <v>1</v>
      </c>
      <c r="E4266" s="15">
        <f>10.683+1.904-1.904-1.029-4.271-0.578-0.515-1.455-2.151-0.119-0.154+5.914-1.941-0.301-1.982-1.994+4.428</f>
        <v>4.5350000000000001</v>
      </c>
    </row>
    <row r="4267" spans="1:5" x14ac:dyDescent="0.3">
      <c r="A4267" s="8">
        <v>325</v>
      </c>
      <c r="B4267" s="8">
        <v>30</v>
      </c>
      <c r="C4267" s="8">
        <v>45</v>
      </c>
      <c r="D4267" s="8" t="s">
        <v>1</v>
      </c>
      <c r="E4267" s="9">
        <f>8.396-2.064-0.049-2.013-0.055-0.263-0.449-0.237-1.133-0.044</f>
        <v>2.0890000000000009</v>
      </c>
    </row>
    <row r="4268" spans="1:5" x14ac:dyDescent="0.3">
      <c r="A4268" s="8">
        <v>325</v>
      </c>
      <c r="B4268" s="8">
        <v>30</v>
      </c>
      <c r="C4268" s="8" t="s">
        <v>35</v>
      </c>
      <c r="D4268" s="8" t="s">
        <v>32</v>
      </c>
      <c r="E4268" s="9">
        <v>1.7949999999999999</v>
      </c>
    </row>
    <row r="4269" spans="1:5" x14ac:dyDescent="0.3">
      <c r="A4269" s="8">
        <v>325</v>
      </c>
      <c r="B4269" s="8">
        <v>30</v>
      </c>
      <c r="C4269" s="8" t="s">
        <v>35</v>
      </c>
      <c r="D4269" s="8" t="s">
        <v>32</v>
      </c>
      <c r="E4269" s="9">
        <v>1.9279999999999999</v>
      </c>
    </row>
    <row r="4270" spans="1:5" x14ac:dyDescent="0.3">
      <c r="A4270" s="10">
        <v>325</v>
      </c>
      <c r="B4270" s="10">
        <v>30</v>
      </c>
      <c r="C4270" s="10" t="s">
        <v>28</v>
      </c>
      <c r="D4270" s="10" t="s">
        <v>1</v>
      </c>
      <c r="E4270" s="15">
        <f>9.654+3.535-0.121</f>
        <v>13.068</v>
      </c>
    </row>
    <row r="4271" spans="1:5" x14ac:dyDescent="0.3">
      <c r="A4271" s="10">
        <v>325</v>
      </c>
      <c r="B4271" s="10">
        <v>30</v>
      </c>
      <c r="C4271" s="10" t="s">
        <v>28</v>
      </c>
      <c r="D4271" s="10" t="s">
        <v>1</v>
      </c>
      <c r="E4271" s="15">
        <v>3.5350000000000001</v>
      </c>
    </row>
    <row r="4272" spans="1:5" x14ac:dyDescent="0.3">
      <c r="A4272" s="8">
        <v>325</v>
      </c>
      <c r="B4272" s="8">
        <v>30</v>
      </c>
      <c r="C4272" s="8" t="s">
        <v>30</v>
      </c>
      <c r="D4272" s="8" t="s">
        <v>1</v>
      </c>
      <c r="E4272" s="9">
        <v>10</v>
      </c>
    </row>
    <row r="4273" spans="1:5" x14ac:dyDescent="0.3">
      <c r="A4273" s="10">
        <v>325</v>
      </c>
      <c r="B4273" s="10">
        <v>30</v>
      </c>
      <c r="C4273" s="10" t="s">
        <v>31</v>
      </c>
      <c r="D4273" s="10" t="s">
        <v>32</v>
      </c>
      <c r="E4273" s="15">
        <f>10.826-1.489-3.048-1.556-0.087-3.038+1.08+3.875+11.99-3.507-1.08-1.945-0.26</f>
        <v>11.761000000000001</v>
      </c>
    </row>
    <row r="4274" spans="1:5" x14ac:dyDescent="0.3">
      <c r="A4274" s="10">
        <v>325</v>
      </c>
      <c r="B4274" s="10">
        <v>32</v>
      </c>
      <c r="C4274" s="10">
        <v>20</v>
      </c>
      <c r="D4274" s="10" t="s">
        <v>1</v>
      </c>
      <c r="E4274" s="15">
        <f>6.246-0.154-0.196-0.166-0.299-1.539-0.143-0.077-0.129-0.311-0.754-0.049-0.047-0.077-0.089-0.126-0.455-0.08-0.126-0.115+4.394-0.082-0.108-0.511-0.082-0.082-0.12</f>
        <v>4.7230000000000016</v>
      </c>
    </row>
    <row r="4275" spans="1:5" x14ac:dyDescent="0.3">
      <c r="A4275" s="10">
        <v>325</v>
      </c>
      <c r="B4275" s="10">
        <v>32</v>
      </c>
      <c r="C4275" s="10" t="s">
        <v>26</v>
      </c>
      <c r="D4275" s="10" t="s">
        <v>1</v>
      </c>
      <c r="E4275" s="15">
        <f>9.556-0.98-0.083-4.806+4.806-1.295+5.195-1.602-0.327-2.435-1.293-1.602-0.859-0.492-0.618-0.252</f>
        <v>2.9129999999999976</v>
      </c>
    </row>
    <row r="4276" spans="1:5" x14ac:dyDescent="0.3">
      <c r="A4276" s="8">
        <v>325</v>
      </c>
      <c r="B4276" s="8">
        <v>32</v>
      </c>
      <c r="C4276" s="8">
        <v>35</v>
      </c>
      <c r="D4276" s="8" t="s">
        <v>1</v>
      </c>
      <c r="E4276" s="9">
        <v>10</v>
      </c>
    </row>
    <row r="4277" spans="1:5" x14ac:dyDescent="0.3">
      <c r="A4277" s="8">
        <v>325</v>
      </c>
      <c r="B4277" s="8">
        <v>32</v>
      </c>
      <c r="C4277" s="8">
        <v>45</v>
      </c>
      <c r="D4277" s="8" t="s">
        <v>1</v>
      </c>
      <c r="E4277" s="9">
        <v>7</v>
      </c>
    </row>
    <row r="4278" spans="1:5" x14ac:dyDescent="0.3">
      <c r="A4278" s="10">
        <v>325</v>
      </c>
      <c r="B4278" s="10">
        <v>32</v>
      </c>
      <c r="C4278" s="10" t="s">
        <v>35</v>
      </c>
      <c r="D4278" s="10" t="s">
        <v>32</v>
      </c>
      <c r="E4278" s="15">
        <f>1.781+1.259-0.08</f>
        <v>2.96</v>
      </c>
    </row>
    <row r="4279" spans="1:5" x14ac:dyDescent="0.3">
      <c r="A4279" s="10">
        <v>325</v>
      </c>
      <c r="B4279" s="10">
        <v>32</v>
      </c>
      <c r="C4279" s="10" t="s">
        <v>28</v>
      </c>
      <c r="D4279" s="10" t="s">
        <v>1</v>
      </c>
      <c r="E4279" s="15">
        <f>9.161-0.378-2.412-0.382</f>
        <v>5.9889999999999999</v>
      </c>
    </row>
    <row r="4280" spans="1:5" x14ac:dyDescent="0.3">
      <c r="A4280" s="10">
        <v>325</v>
      </c>
      <c r="B4280" s="10">
        <v>32</v>
      </c>
      <c r="C4280" s="10" t="s">
        <v>31</v>
      </c>
      <c r="D4280" s="10" t="s">
        <v>32</v>
      </c>
      <c r="E4280" s="15">
        <f>9.559-7.852+2.872-0.186-1.243-1.387+9.314-0.658-4.543-2.393-2.594-0.564+9.35</f>
        <v>9.6749999999999989</v>
      </c>
    </row>
    <row r="4281" spans="1:5" x14ac:dyDescent="0.3">
      <c r="A4281" s="8">
        <v>325</v>
      </c>
      <c r="B4281" s="8">
        <v>34</v>
      </c>
      <c r="C4281" s="13">
        <v>20</v>
      </c>
      <c r="D4281" s="8" t="s">
        <v>32</v>
      </c>
      <c r="E4281" s="9">
        <f>1.685-0.454-0.274-0.086-0.092-0.269</f>
        <v>0.51000000000000012</v>
      </c>
    </row>
    <row r="4282" spans="1:5" x14ac:dyDescent="0.3">
      <c r="A4282" s="10">
        <v>325</v>
      </c>
      <c r="B4282" s="10">
        <v>34</v>
      </c>
      <c r="C4282" s="10" t="s">
        <v>35</v>
      </c>
      <c r="D4282" s="10" t="s">
        <v>32</v>
      </c>
      <c r="E4282" s="15">
        <f>2.92-0.631+0.045</f>
        <v>2.3339999999999996</v>
      </c>
    </row>
    <row r="4283" spans="1:5" x14ac:dyDescent="0.3">
      <c r="A4283" s="10">
        <v>325</v>
      </c>
      <c r="B4283" s="10">
        <v>36</v>
      </c>
      <c r="C4283" s="10">
        <v>20</v>
      </c>
      <c r="D4283" s="10" t="s">
        <v>1</v>
      </c>
      <c r="E4283" s="15">
        <f>10.286-0.413-0.53-1.024-0.271-0.109-0.939-0.104-0.086-0.446-0.117-0.086-0.075-0.529-0.319</f>
        <v>5.2379999999999978</v>
      </c>
    </row>
    <row r="4284" spans="1:5" x14ac:dyDescent="0.3">
      <c r="A4284" s="10">
        <v>325</v>
      </c>
      <c r="B4284" s="10">
        <v>36</v>
      </c>
      <c r="C4284" s="10">
        <v>20</v>
      </c>
      <c r="D4284" s="10" t="s">
        <v>32</v>
      </c>
      <c r="E4284" s="15">
        <v>5.65</v>
      </c>
    </row>
    <row r="4285" spans="1:5" x14ac:dyDescent="0.3">
      <c r="A4285" s="10">
        <v>325</v>
      </c>
      <c r="B4285" s="10">
        <v>36</v>
      </c>
      <c r="C4285" s="10" t="s">
        <v>26</v>
      </c>
      <c r="D4285" s="10" t="s">
        <v>1</v>
      </c>
      <c r="E4285" s="15">
        <f>2.006+1.698+3.579+3.674-0.271-0.137-0.281-0.039-4.076-0.068-0.856-0.526-1.24-1.842</f>
        <v>1.6209999999999982</v>
      </c>
    </row>
    <row r="4286" spans="1:5" x14ac:dyDescent="0.3">
      <c r="A4286" s="8">
        <v>325</v>
      </c>
      <c r="B4286" s="8">
        <v>36</v>
      </c>
      <c r="C4286" s="8" t="s">
        <v>26</v>
      </c>
      <c r="D4286" s="8" t="s">
        <v>1</v>
      </c>
      <c r="E4286" s="9">
        <v>0.872</v>
      </c>
    </row>
    <row r="4287" spans="1:5" x14ac:dyDescent="0.3">
      <c r="A4287" s="10">
        <v>325</v>
      </c>
      <c r="B4287" s="10">
        <v>36</v>
      </c>
      <c r="C4287" s="10">
        <v>35</v>
      </c>
      <c r="D4287" s="10" t="s">
        <v>1</v>
      </c>
      <c r="E4287" s="15">
        <f>2.144+21.086+34.12-1.996-6.437-12.941-2.011-2.037-0.993</f>
        <v>30.934999999999992</v>
      </c>
    </row>
    <row r="4288" spans="1:5" x14ac:dyDescent="0.3">
      <c r="A4288" s="10">
        <v>325</v>
      </c>
      <c r="B4288" s="10">
        <v>36</v>
      </c>
      <c r="C4288" s="10">
        <v>45</v>
      </c>
      <c r="D4288" s="10" t="s">
        <v>1</v>
      </c>
      <c r="E4288" s="15">
        <f>10.325-0.309-2.273-2.579-0.207-0.08+10.374+2.134-0.199-0.425-0.439-0.147-0.124-0.985-0.497-0.839</f>
        <v>13.730000000000002</v>
      </c>
    </row>
    <row r="4289" spans="1:5" x14ac:dyDescent="0.3">
      <c r="A4289" s="10">
        <v>325</v>
      </c>
      <c r="B4289" s="10">
        <v>36</v>
      </c>
      <c r="C4289" s="10" t="s">
        <v>28</v>
      </c>
      <c r="D4289" s="10" t="s">
        <v>1</v>
      </c>
      <c r="E4289" s="15">
        <f>2.411+4.947-0.27</f>
        <v>7.088000000000001</v>
      </c>
    </row>
    <row r="4290" spans="1:5" x14ac:dyDescent="0.3">
      <c r="A4290" s="8">
        <v>325</v>
      </c>
      <c r="B4290" s="8">
        <v>36</v>
      </c>
      <c r="C4290" s="8" t="s">
        <v>30</v>
      </c>
      <c r="D4290" s="8" t="s">
        <v>1</v>
      </c>
      <c r="E4290" s="9">
        <v>5</v>
      </c>
    </row>
    <row r="4291" spans="1:5" x14ac:dyDescent="0.3">
      <c r="A4291" s="10">
        <v>325</v>
      </c>
      <c r="B4291" s="10">
        <v>36</v>
      </c>
      <c r="C4291" s="10" t="s">
        <v>31</v>
      </c>
      <c r="D4291" s="10" t="s">
        <v>32</v>
      </c>
      <c r="E4291" s="15">
        <f>8.995-2.758-3.068+7.678-3.013-0.247</f>
        <v>7.5869999999999997</v>
      </c>
    </row>
    <row r="4292" spans="1:5" x14ac:dyDescent="0.3">
      <c r="A4292" s="10">
        <v>325</v>
      </c>
      <c r="B4292" s="10">
        <v>38</v>
      </c>
      <c r="C4292" s="10" t="s">
        <v>31</v>
      </c>
      <c r="D4292" s="10" t="s">
        <v>32</v>
      </c>
      <c r="E4292" s="15">
        <f>9.154-0.085+0.004-0.157-3.089-1.299</f>
        <v>4.5279999999999987</v>
      </c>
    </row>
    <row r="4293" spans="1:5" x14ac:dyDescent="0.3">
      <c r="A4293" s="10">
        <v>325</v>
      </c>
      <c r="B4293" s="10">
        <v>38</v>
      </c>
      <c r="C4293" s="10" t="s">
        <v>31</v>
      </c>
      <c r="D4293" s="10" t="s">
        <v>32</v>
      </c>
      <c r="E4293" s="15">
        <f>18.6+19.17-4.271-0.66</f>
        <v>32.839000000000006</v>
      </c>
    </row>
    <row r="4294" spans="1:5" x14ac:dyDescent="0.3">
      <c r="A4294" s="8">
        <v>325</v>
      </c>
      <c r="B4294" s="8">
        <v>38</v>
      </c>
      <c r="C4294" s="8" t="s">
        <v>45</v>
      </c>
      <c r="D4294" s="8" t="s">
        <v>32</v>
      </c>
      <c r="E4294" s="9">
        <v>15</v>
      </c>
    </row>
    <row r="4295" spans="1:5" x14ac:dyDescent="0.3">
      <c r="A4295" s="10">
        <v>325</v>
      </c>
      <c r="B4295" s="10">
        <v>40</v>
      </c>
      <c r="C4295" s="10">
        <v>20</v>
      </c>
      <c r="D4295" s="10" t="s">
        <v>1</v>
      </c>
      <c r="E4295" s="15">
        <f>0.586+11.728-0.591-0.725-0.591-0.097-0.156-0.301-2.29-0.298-0.196-0.656-0.277-1.15-0.384-0.662-0.151-0.142-0.154-0.724-1.147-0.296</f>
        <v>1.3260000000000027</v>
      </c>
    </row>
    <row r="4296" spans="1:5" x14ac:dyDescent="0.3">
      <c r="A4296" s="8">
        <v>325</v>
      </c>
      <c r="B4296" s="8">
        <v>40</v>
      </c>
      <c r="C4296" s="8">
        <v>20</v>
      </c>
      <c r="D4296" s="8" t="s">
        <v>1</v>
      </c>
      <c r="E4296" s="9">
        <v>10</v>
      </c>
    </row>
    <row r="4297" spans="1:5" x14ac:dyDescent="0.3">
      <c r="A4297" s="8">
        <v>325</v>
      </c>
      <c r="B4297" s="8">
        <v>40</v>
      </c>
      <c r="C4297" s="8">
        <v>20</v>
      </c>
      <c r="D4297" s="8" t="s">
        <v>32</v>
      </c>
      <c r="E4297" s="9">
        <f>5.875-0.313-0.076-1.011-0.548-0.985</f>
        <v>2.9420000000000006</v>
      </c>
    </row>
    <row r="4298" spans="1:5" x14ac:dyDescent="0.3">
      <c r="A4298" s="10">
        <v>325</v>
      </c>
      <c r="B4298" s="10">
        <v>40</v>
      </c>
      <c r="C4298" s="10" t="s">
        <v>26</v>
      </c>
      <c r="D4298" s="10" t="s">
        <v>64</v>
      </c>
      <c r="E4298" s="15">
        <f>12.852-0.524-0.495-1.11-0.142-0.08-1.901-2.251-0.295-1.841</f>
        <v>4.2130000000000019</v>
      </c>
    </row>
    <row r="4299" spans="1:5" x14ac:dyDescent="0.3">
      <c r="A4299" s="10">
        <v>325</v>
      </c>
      <c r="B4299" s="10">
        <v>40</v>
      </c>
      <c r="C4299" s="10">
        <v>35</v>
      </c>
      <c r="D4299" s="10" t="s">
        <v>1</v>
      </c>
      <c r="E4299" s="15">
        <f>12.475-0.46-0.102-2.477-1.388-0.147-1.6-1.084-2.068-0.18</f>
        <v>2.9689999999999985</v>
      </c>
    </row>
    <row r="4300" spans="1:5" x14ac:dyDescent="0.3">
      <c r="A4300" s="8">
        <v>325</v>
      </c>
      <c r="B4300" s="8">
        <v>40</v>
      </c>
      <c r="C4300" s="8">
        <v>35</v>
      </c>
      <c r="D4300" s="8" t="s">
        <v>1</v>
      </c>
      <c r="E4300" s="9">
        <v>5</v>
      </c>
    </row>
    <row r="4301" spans="1:5" x14ac:dyDescent="0.3">
      <c r="A4301" s="10">
        <v>325</v>
      </c>
      <c r="B4301" s="10">
        <v>40</v>
      </c>
      <c r="C4301" s="10">
        <v>45</v>
      </c>
      <c r="D4301" s="10" t="s">
        <v>1</v>
      </c>
      <c r="E4301" s="15">
        <f>4.883+5.062+10.748-2.496-0.673+2.052-0.187-0.045-0.359-0.545-0.687-0.128</f>
        <v>17.624999999999996</v>
      </c>
    </row>
    <row r="4302" spans="1:5" x14ac:dyDescent="0.3">
      <c r="A4302" s="10">
        <v>325</v>
      </c>
      <c r="B4302" s="10">
        <v>40</v>
      </c>
      <c r="C4302" s="10" t="s">
        <v>28</v>
      </c>
      <c r="D4302" s="10" t="s">
        <v>1</v>
      </c>
      <c r="E4302" s="15">
        <v>4.944</v>
      </c>
    </row>
    <row r="4303" spans="1:5" x14ac:dyDescent="0.3">
      <c r="A4303" s="10">
        <v>325</v>
      </c>
      <c r="B4303" s="10">
        <v>40</v>
      </c>
      <c r="C4303" s="10" t="s">
        <v>31</v>
      </c>
      <c r="D4303" s="10" t="s">
        <v>32</v>
      </c>
      <c r="E4303" s="15">
        <f>8.959-0.326-0.137-2.98-1.501</f>
        <v>4.0149999999999988</v>
      </c>
    </row>
    <row r="4304" spans="1:5" x14ac:dyDescent="0.3">
      <c r="A4304" s="10">
        <v>325</v>
      </c>
      <c r="B4304" s="10">
        <v>40</v>
      </c>
      <c r="C4304" s="10" t="s">
        <v>31</v>
      </c>
      <c r="D4304" s="10" t="s">
        <v>32</v>
      </c>
      <c r="E4304" s="15">
        <v>5.55</v>
      </c>
    </row>
    <row r="4305" spans="1:5" x14ac:dyDescent="0.3">
      <c r="A4305" s="10">
        <v>325</v>
      </c>
      <c r="B4305" s="10">
        <v>40</v>
      </c>
      <c r="C4305" s="10" t="s">
        <v>45</v>
      </c>
      <c r="D4305" s="10" t="s">
        <v>32</v>
      </c>
      <c r="E4305" s="15">
        <f>4.432+1.473+1.5-0.517+1.715</f>
        <v>8.6029999999999998</v>
      </c>
    </row>
    <row r="4306" spans="1:5" x14ac:dyDescent="0.3">
      <c r="A4306" s="10">
        <v>325</v>
      </c>
      <c r="B4306" s="10">
        <v>42</v>
      </c>
      <c r="C4306" s="10">
        <v>20</v>
      </c>
      <c r="D4306" s="10" t="s">
        <v>32</v>
      </c>
      <c r="E4306" s="15">
        <f>1.995+1.923</f>
        <v>3.9180000000000001</v>
      </c>
    </row>
    <row r="4307" spans="1:5" x14ac:dyDescent="0.3">
      <c r="A4307" s="8">
        <v>325</v>
      </c>
      <c r="B4307" s="8">
        <v>42</v>
      </c>
      <c r="C4307" s="8" t="s">
        <v>35</v>
      </c>
      <c r="D4307" s="8" t="s">
        <v>32</v>
      </c>
      <c r="E4307" s="9">
        <v>10</v>
      </c>
    </row>
    <row r="4308" spans="1:5" x14ac:dyDescent="0.3">
      <c r="A4308" s="8">
        <v>325</v>
      </c>
      <c r="B4308" s="8">
        <v>42</v>
      </c>
      <c r="C4308" s="8" t="s">
        <v>31</v>
      </c>
      <c r="D4308" s="8" t="s">
        <v>32</v>
      </c>
      <c r="E4308" s="9">
        <f>1.791+1.8</f>
        <v>3.5910000000000002</v>
      </c>
    </row>
    <row r="4309" spans="1:5" x14ac:dyDescent="0.3">
      <c r="A4309" s="8">
        <v>325</v>
      </c>
      <c r="B4309" s="8">
        <v>45</v>
      </c>
      <c r="C4309" s="8">
        <v>20</v>
      </c>
      <c r="D4309" s="8" t="s">
        <v>1</v>
      </c>
      <c r="E4309" s="9">
        <f>11.902-0.079-1.452-0.204-0.729-0.113-0.326-0.116-0.254-0.632-0.248-0.886-1.452-0.173-0.452-0.235-0.235-1.277-0.097-0.745</f>
        <v>2.1969999999999987</v>
      </c>
    </row>
    <row r="4310" spans="1:5" x14ac:dyDescent="0.3">
      <c r="A4310" s="8">
        <v>325</v>
      </c>
      <c r="B4310" s="8">
        <v>45</v>
      </c>
      <c r="C4310" s="8">
        <v>20</v>
      </c>
      <c r="D4310" s="8" t="s">
        <v>1</v>
      </c>
      <c r="E4310" s="9">
        <v>10</v>
      </c>
    </row>
    <row r="4311" spans="1:5" x14ac:dyDescent="0.3">
      <c r="A4311" s="10">
        <v>325</v>
      </c>
      <c r="B4311" s="10">
        <v>45</v>
      </c>
      <c r="C4311" s="10" t="s">
        <v>26</v>
      </c>
      <c r="D4311" s="10" t="s">
        <v>64</v>
      </c>
      <c r="E4311" s="15">
        <f>10.62-4.357-2.202+1.446-4.125-0.204-0.42-0.451-0.182</f>
        <v>0.12499999999999889</v>
      </c>
    </row>
    <row r="4312" spans="1:5" x14ac:dyDescent="0.3">
      <c r="A4312" s="8">
        <v>325</v>
      </c>
      <c r="B4312" s="8">
        <v>45</v>
      </c>
      <c r="C4312" s="8" t="s">
        <v>26</v>
      </c>
      <c r="D4312" s="8" t="s">
        <v>1</v>
      </c>
      <c r="E4312" s="9">
        <v>10.130000000000001</v>
      </c>
    </row>
    <row r="4313" spans="1:5" x14ac:dyDescent="0.3">
      <c r="A4313" s="8">
        <v>325</v>
      </c>
      <c r="B4313" s="8">
        <v>45</v>
      </c>
      <c r="C4313" s="8">
        <v>35</v>
      </c>
      <c r="D4313" s="8" t="s">
        <v>1</v>
      </c>
      <c r="E4313" s="9">
        <v>20</v>
      </c>
    </row>
    <row r="4314" spans="1:5" x14ac:dyDescent="0.3">
      <c r="A4314" s="8">
        <v>325</v>
      </c>
      <c r="B4314" s="8">
        <v>45</v>
      </c>
      <c r="C4314" s="8">
        <v>45</v>
      </c>
      <c r="D4314" s="8" t="s">
        <v>1</v>
      </c>
      <c r="E4314" s="9">
        <v>7</v>
      </c>
    </row>
    <row r="4315" spans="1:5" x14ac:dyDescent="0.3">
      <c r="A4315" s="10">
        <v>325</v>
      </c>
      <c r="B4315" s="10">
        <v>45</v>
      </c>
      <c r="C4315" s="10" t="s">
        <v>28</v>
      </c>
      <c r="D4315" s="10" t="s">
        <v>1</v>
      </c>
      <c r="E4315" s="15">
        <f>2.29+6.454-0.281-5.497+19.054+9.95-1.829-16.394-0.553-1.576-0.172-0.731-9.906</f>
        <v>0.80899999999999395</v>
      </c>
    </row>
    <row r="4316" spans="1:5" x14ac:dyDescent="0.3">
      <c r="A4316" s="8">
        <v>325</v>
      </c>
      <c r="B4316" s="8">
        <v>45</v>
      </c>
      <c r="C4316" s="8" t="s">
        <v>28</v>
      </c>
      <c r="D4316" s="8" t="s">
        <v>1</v>
      </c>
      <c r="E4316" s="9">
        <v>20</v>
      </c>
    </row>
    <row r="4317" spans="1:5" x14ac:dyDescent="0.3">
      <c r="A4317" s="10">
        <v>325</v>
      </c>
      <c r="B4317" s="10">
        <v>45</v>
      </c>
      <c r="C4317" s="10" t="s">
        <v>31</v>
      </c>
      <c r="D4317" s="10" t="s">
        <v>32</v>
      </c>
      <c r="E4317" s="15">
        <f>9.443-1.636+1.636-3.004-0.124-0.184-1.22-1.636</f>
        <v>3.2750000000000004</v>
      </c>
    </row>
    <row r="4318" spans="1:5" x14ac:dyDescent="0.3">
      <c r="A4318" s="10">
        <v>325</v>
      </c>
      <c r="B4318" s="10">
        <v>45</v>
      </c>
      <c r="C4318" s="10" t="s">
        <v>45</v>
      </c>
      <c r="D4318" s="10" t="s">
        <v>32</v>
      </c>
      <c r="E4318" s="15">
        <f>12.16+1.599-1.447-6.047-1.599-0.715-1.553+10.035+6.89-4.83-4.918-0.82-0.498+3.79+11.265+3.22+1.96</f>
        <v>28.492000000000001</v>
      </c>
    </row>
    <row r="4319" spans="1:5" x14ac:dyDescent="0.3">
      <c r="A4319" s="10">
        <v>325</v>
      </c>
      <c r="B4319" s="10">
        <v>50</v>
      </c>
      <c r="C4319" s="10">
        <v>20</v>
      </c>
      <c r="D4319" s="10" t="s">
        <v>85</v>
      </c>
      <c r="E4319" s="15">
        <f>4.466-0.269-0.537-1.451-0.052-1.317</f>
        <v>0.84000000000000008</v>
      </c>
    </row>
    <row r="4320" spans="1:5" x14ac:dyDescent="0.3">
      <c r="A4320" s="8">
        <v>325</v>
      </c>
      <c r="B4320" s="8">
        <v>50</v>
      </c>
      <c r="C4320" s="8">
        <v>20</v>
      </c>
      <c r="D4320" s="8" t="s">
        <v>1</v>
      </c>
      <c r="E4320" s="9">
        <v>15</v>
      </c>
    </row>
    <row r="4321" spans="1:5" x14ac:dyDescent="0.3">
      <c r="A4321" s="8">
        <v>325</v>
      </c>
      <c r="B4321" s="8">
        <v>50</v>
      </c>
      <c r="C4321" s="8">
        <v>20</v>
      </c>
      <c r="D4321" s="8" t="s">
        <v>32</v>
      </c>
      <c r="E4321" s="9">
        <f>2.11-0.38</f>
        <v>1.73</v>
      </c>
    </row>
    <row r="4322" spans="1:5" x14ac:dyDescent="0.3">
      <c r="A4322" s="10">
        <v>325</v>
      </c>
      <c r="B4322" s="10">
        <v>50</v>
      </c>
      <c r="C4322" s="10" t="s">
        <v>26</v>
      </c>
      <c r="D4322" s="10" t="s">
        <v>64</v>
      </c>
      <c r="E4322" s="15">
        <f>12.328-0.154-0.123-2.21-0.648-0.364-0.613</f>
        <v>8.2160000000000011</v>
      </c>
    </row>
    <row r="4323" spans="1:5" x14ac:dyDescent="0.3">
      <c r="A4323" s="10">
        <v>325</v>
      </c>
      <c r="B4323" s="10">
        <v>50</v>
      </c>
      <c r="C4323" s="10">
        <v>35</v>
      </c>
      <c r="D4323" s="10" t="s">
        <v>1</v>
      </c>
      <c r="E4323" s="15">
        <f>11.992-0.669-1.369+1.475-0.88-1.935-1.955-1.111-0.621-0.359-2.035-0.328-2.032</f>
        <v>0.1729999999999996</v>
      </c>
    </row>
    <row r="4324" spans="1:5" x14ac:dyDescent="0.3">
      <c r="A4324" s="8">
        <v>325</v>
      </c>
      <c r="B4324" s="8">
        <v>50</v>
      </c>
      <c r="C4324" s="8">
        <v>35</v>
      </c>
      <c r="D4324" s="8" t="s">
        <v>1</v>
      </c>
      <c r="E4324" s="9">
        <v>10</v>
      </c>
    </row>
    <row r="4325" spans="1:5" x14ac:dyDescent="0.3">
      <c r="A4325" s="8">
        <v>325</v>
      </c>
      <c r="B4325" s="8">
        <v>50</v>
      </c>
      <c r="C4325" s="8">
        <v>45</v>
      </c>
      <c r="D4325" s="8" t="s">
        <v>1</v>
      </c>
      <c r="E4325" s="9">
        <v>15</v>
      </c>
    </row>
    <row r="4326" spans="1:5" x14ac:dyDescent="0.3">
      <c r="A4326" s="8">
        <v>325</v>
      </c>
      <c r="B4326" s="8">
        <v>50</v>
      </c>
      <c r="C4326" s="8" t="s">
        <v>35</v>
      </c>
      <c r="D4326" s="8" t="s">
        <v>32</v>
      </c>
      <c r="E4326" s="9">
        <v>10</v>
      </c>
    </row>
    <row r="4327" spans="1:5" x14ac:dyDescent="0.3">
      <c r="A4327" s="10">
        <v>325</v>
      </c>
      <c r="B4327" s="10">
        <v>50</v>
      </c>
      <c r="C4327" s="10" t="s">
        <v>31</v>
      </c>
      <c r="D4327" s="10" t="s">
        <v>32</v>
      </c>
      <c r="E4327" s="15">
        <f>4.698+4.61-0.197-3.143+0.004-0.433+6.161-0.091-3.045</f>
        <v>8.5640000000000001</v>
      </c>
    </row>
    <row r="4328" spans="1:5" x14ac:dyDescent="0.3">
      <c r="A4328" s="8">
        <v>325</v>
      </c>
      <c r="B4328" s="11">
        <v>50</v>
      </c>
      <c r="C4328" s="8" t="s">
        <v>45</v>
      </c>
      <c r="D4328" s="8" t="s">
        <v>32</v>
      </c>
      <c r="E4328" s="9">
        <f>3.039+7.516-0.164-1.301-1.552-0.266-0.829-3.03-0.382-1.555</f>
        <v>1.4760000000000006</v>
      </c>
    </row>
    <row r="4329" spans="1:5" x14ac:dyDescent="0.3">
      <c r="A4329" s="8">
        <v>325</v>
      </c>
      <c r="B4329" s="8">
        <v>50</v>
      </c>
      <c r="C4329" s="8" t="s">
        <v>45</v>
      </c>
      <c r="D4329" s="8" t="s">
        <v>32</v>
      </c>
      <c r="E4329" s="9">
        <v>20</v>
      </c>
    </row>
    <row r="4330" spans="1:5" x14ac:dyDescent="0.3">
      <c r="A4330" s="10">
        <v>325</v>
      </c>
      <c r="B4330" s="10">
        <v>52</v>
      </c>
      <c r="C4330" s="10" t="s">
        <v>28</v>
      </c>
      <c r="D4330" s="10" t="s">
        <v>1</v>
      </c>
      <c r="E4330" s="15">
        <f>8.05+5.3-0.891+3.15</f>
        <v>15.609000000000002</v>
      </c>
    </row>
    <row r="4331" spans="1:5" x14ac:dyDescent="0.3">
      <c r="A4331" s="10">
        <v>325</v>
      </c>
      <c r="B4331" s="10">
        <v>50</v>
      </c>
      <c r="C4331" s="10" t="s">
        <v>24</v>
      </c>
      <c r="D4331" s="10" t="s">
        <v>1</v>
      </c>
      <c r="E4331" s="15">
        <v>6.3</v>
      </c>
    </row>
    <row r="4332" spans="1:5" x14ac:dyDescent="0.3">
      <c r="A4332" s="8">
        <v>325</v>
      </c>
      <c r="B4332" s="8">
        <v>52</v>
      </c>
      <c r="C4332" s="8" t="s">
        <v>28</v>
      </c>
      <c r="D4332" s="8" t="s">
        <v>1</v>
      </c>
      <c r="E4332" s="9">
        <f>5.154-3.15</f>
        <v>2.004</v>
      </c>
    </row>
    <row r="4333" spans="1:5" x14ac:dyDescent="0.3">
      <c r="A4333" s="8">
        <v>325</v>
      </c>
      <c r="B4333" s="8">
        <v>56</v>
      </c>
      <c r="C4333" s="8" t="s">
        <v>28</v>
      </c>
      <c r="D4333" s="8" t="s">
        <v>1</v>
      </c>
      <c r="E4333" s="9">
        <v>10.635999999999999</v>
      </c>
    </row>
    <row r="4334" spans="1:5" x14ac:dyDescent="0.3">
      <c r="A4334" s="8">
        <v>325</v>
      </c>
      <c r="B4334" s="8">
        <v>56</v>
      </c>
      <c r="C4334" s="8" t="s">
        <v>31</v>
      </c>
      <c r="D4334" s="8" t="s">
        <v>32</v>
      </c>
      <c r="E4334" s="9">
        <v>7</v>
      </c>
    </row>
    <row r="4335" spans="1:5" x14ac:dyDescent="0.3">
      <c r="A4335" s="10">
        <v>325</v>
      </c>
      <c r="B4335" s="10">
        <v>60</v>
      </c>
      <c r="C4335" s="10">
        <v>20</v>
      </c>
      <c r="D4335" s="10" t="s">
        <v>1</v>
      </c>
      <c r="E4335" s="15">
        <f>2.229+1.981+0.028-0.3-1.686-0.619-0.65+15.278-0.344-0.138-2.908-0.57</f>
        <v>12.301</v>
      </c>
    </row>
    <row r="4336" spans="1:5" x14ac:dyDescent="0.3">
      <c r="A4336" s="8">
        <v>325</v>
      </c>
      <c r="B4336" s="8">
        <v>60</v>
      </c>
      <c r="C4336" s="8">
        <v>20</v>
      </c>
      <c r="D4336" s="8" t="s">
        <v>32</v>
      </c>
      <c r="E4336" s="9">
        <f>1.465+1.62</f>
        <v>3.085</v>
      </c>
    </row>
    <row r="4337" spans="1:5" x14ac:dyDescent="0.3">
      <c r="A4337" s="10">
        <v>325</v>
      </c>
      <c r="B4337" s="10">
        <v>60</v>
      </c>
      <c r="C4337" s="10" t="s">
        <v>26</v>
      </c>
      <c r="D4337" s="10" t="s">
        <v>1</v>
      </c>
      <c r="E4337" s="15">
        <f>11.93-0.419-0.419-2.385-0.407-1.394-0.612-0.111-0.178-4.781-0.411-0.411-0.257+0.029+12.276-0.411-0.537-0.324-0.569-0.206-2.053-2.076-0.056-0.186-0.119-0.135</f>
        <v>5.7779999999999978</v>
      </c>
    </row>
    <row r="4338" spans="1:5" x14ac:dyDescent="0.3">
      <c r="A4338" s="8">
        <v>325</v>
      </c>
      <c r="B4338" s="8">
        <v>60</v>
      </c>
      <c r="C4338" s="8">
        <v>35</v>
      </c>
      <c r="D4338" s="8" t="s">
        <v>1</v>
      </c>
      <c r="E4338" s="9">
        <f>6.448-0.14-1.934-2.118</f>
        <v>2.2560000000000007</v>
      </c>
    </row>
    <row r="4339" spans="1:5" x14ac:dyDescent="0.3">
      <c r="A4339" s="8">
        <v>325</v>
      </c>
      <c r="B4339" s="8">
        <v>60</v>
      </c>
      <c r="C4339" s="8">
        <v>45</v>
      </c>
      <c r="D4339" s="8" t="s">
        <v>1</v>
      </c>
      <c r="E4339" s="9">
        <f>2.333-0.091-0.411+9.374-0.413-0.417-0.225-0.622-0.069-0.622-0.214</f>
        <v>8.6229999999999993</v>
      </c>
    </row>
    <row r="4340" spans="1:5" x14ac:dyDescent="0.3">
      <c r="A4340" s="8">
        <v>325</v>
      </c>
      <c r="B4340" s="8">
        <v>60</v>
      </c>
      <c r="C4340" s="8" t="s">
        <v>28</v>
      </c>
      <c r="D4340" s="8" t="s">
        <v>1</v>
      </c>
      <c r="E4340" s="9">
        <f>10.534-5.387</f>
        <v>5.1470000000000011</v>
      </c>
    </row>
    <row r="4341" spans="1:5" x14ac:dyDescent="0.3">
      <c r="A4341" s="8">
        <v>325</v>
      </c>
      <c r="B4341" s="8">
        <v>60</v>
      </c>
      <c r="C4341" s="8" t="s">
        <v>30</v>
      </c>
      <c r="D4341" s="8" t="s">
        <v>1</v>
      </c>
      <c r="E4341" s="9">
        <v>20</v>
      </c>
    </row>
    <row r="4342" spans="1:5" x14ac:dyDescent="0.3">
      <c r="A4342" s="8">
        <v>325</v>
      </c>
      <c r="B4342" s="8">
        <v>60</v>
      </c>
      <c r="C4342" s="8" t="s">
        <v>31</v>
      </c>
      <c r="D4342" s="8" t="s">
        <v>32</v>
      </c>
      <c r="E4342" s="9">
        <v>15</v>
      </c>
    </row>
    <row r="4343" spans="1:5" x14ac:dyDescent="0.3">
      <c r="A4343" s="8">
        <v>325</v>
      </c>
      <c r="B4343" s="8">
        <v>60</v>
      </c>
      <c r="C4343" s="8" t="s">
        <v>45</v>
      </c>
      <c r="D4343" s="8" t="s">
        <v>32</v>
      </c>
      <c r="E4343" s="9">
        <v>20</v>
      </c>
    </row>
    <row r="4344" spans="1:5" x14ac:dyDescent="0.3">
      <c r="A4344" s="8">
        <v>325</v>
      </c>
      <c r="B4344" s="8">
        <v>70</v>
      </c>
      <c r="C4344" s="8">
        <v>20</v>
      </c>
      <c r="D4344" s="8" t="s">
        <v>1</v>
      </c>
      <c r="E4344" s="9">
        <f>11.298-0.248-0.177-0.16-0.327-0.049-0.058-0.248-0.486</f>
        <v>9.5450000000000017</v>
      </c>
    </row>
    <row r="4345" spans="1:5" x14ac:dyDescent="0.3">
      <c r="A4345" s="10">
        <v>325</v>
      </c>
      <c r="B4345" s="10">
        <v>70</v>
      </c>
      <c r="C4345" s="10" t="s">
        <v>26</v>
      </c>
      <c r="D4345" s="10" t="s">
        <v>1</v>
      </c>
      <c r="E4345" s="15">
        <f>9.677-2.365-2.526-2.396-0.662-0.555-0.26+10.41-4.238</f>
        <v>7.085</v>
      </c>
    </row>
    <row r="4346" spans="1:5" x14ac:dyDescent="0.3">
      <c r="A4346" s="10">
        <v>325</v>
      </c>
      <c r="B4346" s="10">
        <v>70</v>
      </c>
      <c r="C4346" s="10">
        <v>35</v>
      </c>
      <c r="D4346" s="10" t="s">
        <v>1</v>
      </c>
      <c r="E4346" s="15">
        <f>4.15+4.135+2.714-2.051</f>
        <v>8.9480000000000004</v>
      </c>
    </row>
    <row r="4347" spans="1:5" x14ac:dyDescent="0.3">
      <c r="A4347" s="8">
        <v>325</v>
      </c>
      <c r="B4347" s="8">
        <v>70</v>
      </c>
      <c r="C4347" s="8">
        <v>45</v>
      </c>
      <c r="D4347" s="8" t="s">
        <v>1</v>
      </c>
      <c r="E4347" s="9">
        <f>8.527+4.28-0.232-0.427</f>
        <v>12.148</v>
      </c>
    </row>
    <row r="4348" spans="1:5" x14ac:dyDescent="0.3">
      <c r="A4348" s="10">
        <v>325</v>
      </c>
      <c r="B4348" s="10">
        <v>70</v>
      </c>
      <c r="C4348" s="10" t="s">
        <v>28</v>
      </c>
      <c r="D4348" s="10" t="s">
        <v>1</v>
      </c>
      <c r="E4348" s="15">
        <v>10.263999999999999</v>
      </c>
    </row>
    <row r="4349" spans="1:5" x14ac:dyDescent="0.3">
      <c r="A4349" s="10">
        <v>325</v>
      </c>
      <c r="B4349" s="10">
        <v>70</v>
      </c>
      <c r="C4349" s="10" t="s">
        <v>30</v>
      </c>
      <c r="D4349" s="10" t="s">
        <v>1</v>
      </c>
      <c r="E4349" s="15">
        <f>2.13-0.451-0.46-0.16-0.486+5.66-0.177-2.824-0.728</f>
        <v>2.5040000000000013</v>
      </c>
    </row>
    <row r="4350" spans="1:5" x14ac:dyDescent="0.3">
      <c r="A4350" s="8">
        <v>325</v>
      </c>
      <c r="B4350" s="8">
        <v>75</v>
      </c>
      <c r="C4350" s="8">
        <v>45</v>
      </c>
      <c r="D4350" s="8" t="s">
        <v>1</v>
      </c>
      <c r="E4350" s="9">
        <v>2.0019999999999998</v>
      </c>
    </row>
    <row r="4351" spans="1:5" x14ac:dyDescent="0.3">
      <c r="A4351" s="10">
        <v>325</v>
      </c>
      <c r="B4351" s="10">
        <v>75</v>
      </c>
      <c r="C4351" s="10" t="s">
        <v>28</v>
      </c>
      <c r="D4351" s="10" t="s">
        <v>1</v>
      </c>
      <c r="E4351" s="15">
        <f>8.17-0.787-1.953-0.389-2.402+3.08+6.282</f>
        <v>12.000999999999999</v>
      </c>
    </row>
    <row r="4352" spans="1:5" x14ac:dyDescent="0.3">
      <c r="A4352" s="10">
        <v>325</v>
      </c>
      <c r="B4352" s="10">
        <v>80</v>
      </c>
      <c r="C4352" s="10">
        <v>20</v>
      </c>
      <c r="D4352" s="10" t="s">
        <v>1</v>
      </c>
      <c r="E4352" s="15">
        <f>5.796-0.32-0.795-3.014-0.28</f>
        <v>1.3870000000000002</v>
      </c>
    </row>
    <row r="4353" spans="1:5" x14ac:dyDescent="0.3">
      <c r="A4353" s="8">
        <v>325</v>
      </c>
      <c r="B4353" s="8">
        <v>80</v>
      </c>
      <c r="C4353" s="8">
        <v>20</v>
      </c>
      <c r="D4353" s="8" t="s">
        <v>1</v>
      </c>
      <c r="E4353" s="9">
        <v>8</v>
      </c>
    </row>
    <row r="4354" spans="1:5" x14ac:dyDescent="0.3">
      <c r="A4354" s="10">
        <v>325</v>
      </c>
      <c r="B4354" s="10">
        <v>80</v>
      </c>
      <c r="C4354" s="10" t="s">
        <v>26</v>
      </c>
      <c r="D4354" s="10" t="s">
        <v>1</v>
      </c>
      <c r="E4354" s="15">
        <f>7.038-0.271-0.414</f>
        <v>6.3530000000000006</v>
      </c>
    </row>
    <row r="4355" spans="1:5" x14ac:dyDescent="0.3">
      <c r="A4355" s="10">
        <v>325</v>
      </c>
      <c r="B4355" s="10">
        <v>80</v>
      </c>
      <c r="C4355" s="10">
        <v>45</v>
      </c>
      <c r="D4355" s="10" t="s">
        <v>1</v>
      </c>
      <c r="E4355" s="15">
        <f>8.664-0.45</f>
        <v>8.2140000000000004</v>
      </c>
    </row>
    <row r="4356" spans="1:5" x14ac:dyDescent="0.3">
      <c r="A4356" s="10">
        <v>330</v>
      </c>
      <c r="B4356" s="10">
        <v>20</v>
      </c>
      <c r="C4356" s="10" t="s">
        <v>28</v>
      </c>
      <c r="D4356" s="10" t="s">
        <v>1</v>
      </c>
      <c r="E4356" s="15">
        <f>10.15-0.082-0.237</f>
        <v>9.8309999999999995</v>
      </c>
    </row>
    <row r="4357" spans="1:5" x14ac:dyDescent="0.3">
      <c r="A4357" s="10">
        <v>330</v>
      </c>
      <c r="B4357" s="10">
        <v>60</v>
      </c>
      <c r="C4357" s="10" t="s">
        <v>26</v>
      </c>
      <c r="D4357" s="10" t="s">
        <v>1</v>
      </c>
      <c r="E4357" s="15">
        <f>5.944+14.87-1.98-1.38-0.145-0.137-0.161-0.205</f>
        <v>16.806000000000001</v>
      </c>
    </row>
    <row r="4358" spans="1:5" x14ac:dyDescent="0.3">
      <c r="A4358" s="10">
        <v>340</v>
      </c>
      <c r="B4358" s="10">
        <v>10.9</v>
      </c>
      <c r="C4358" s="10" t="s">
        <v>14</v>
      </c>
      <c r="D4358" s="10" t="s">
        <v>18</v>
      </c>
      <c r="E4358" s="15">
        <f>9.554-0.021+0.003-0.11-0.504-0.38</f>
        <v>8.5419999999999998</v>
      </c>
    </row>
    <row r="4359" spans="1:5" x14ac:dyDescent="0.3">
      <c r="A4359" s="8">
        <v>348</v>
      </c>
      <c r="B4359" s="8">
        <v>42</v>
      </c>
      <c r="C4359" s="8" t="s">
        <v>26</v>
      </c>
      <c r="D4359" s="8" t="s">
        <v>1</v>
      </c>
      <c r="E4359" s="9">
        <v>0.49399999999999999</v>
      </c>
    </row>
    <row r="4360" spans="1:5" x14ac:dyDescent="0.3">
      <c r="A4360" s="8">
        <v>351</v>
      </c>
      <c r="B4360" s="8">
        <v>10</v>
      </c>
      <c r="C4360" s="8">
        <v>20</v>
      </c>
      <c r="D4360" s="8" t="s">
        <v>1</v>
      </c>
      <c r="E4360" s="9">
        <v>5</v>
      </c>
    </row>
    <row r="4361" spans="1:5" x14ac:dyDescent="0.3">
      <c r="A4361" s="10">
        <v>351</v>
      </c>
      <c r="B4361" s="10">
        <v>10</v>
      </c>
      <c r="C4361" s="10" t="s">
        <v>26</v>
      </c>
      <c r="D4361" s="10" t="s">
        <v>1</v>
      </c>
      <c r="E4361" s="15">
        <f>0.8+0.454+3.186</f>
        <v>4.4399999999999995</v>
      </c>
    </row>
    <row r="4362" spans="1:5" x14ac:dyDescent="0.3">
      <c r="A4362" s="8">
        <v>351</v>
      </c>
      <c r="B4362" s="8">
        <v>10</v>
      </c>
      <c r="C4362" s="8" t="s">
        <v>26</v>
      </c>
      <c r="D4362" s="8" t="s">
        <v>64</v>
      </c>
      <c r="E4362" s="9">
        <v>5</v>
      </c>
    </row>
    <row r="4363" spans="1:5" x14ac:dyDescent="0.3">
      <c r="A4363" s="8">
        <v>351</v>
      </c>
      <c r="B4363" s="8">
        <v>12</v>
      </c>
      <c r="C4363" s="8">
        <v>10</v>
      </c>
      <c r="D4363" s="8" t="s">
        <v>1</v>
      </c>
      <c r="E4363" s="9">
        <f>1.902-0.026-0.158-1.113-0.035-0.031-0.207</f>
        <v>0.33199999999999996</v>
      </c>
    </row>
    <row r="4364" spans="1:5" x14ac:dyDescent="0.3">
      <c r="A4364" s="8">
        <v>351</v>
      </c>
      <c r="B4364" s="8">
        <v>12</v>
      </c>
      <c r="C4364" s="8">
        <v>20</v>
      </c>
      <c r="D4364" s="8" t="s">
        <v>1</v>
      </c>
      <c r="E4364" s="9">
        <v>5</v>
      </c>
    </row>
    <row r="4365" spans="1:5" x14ac:dyDescent="0.3">
      <c r="A4365" s="10">
        <v>351</v>
      </c>
      <c r="B4365" s="10">
        <v>12</v>
      </c>
      <c r="C4365" s="10" t="s">
        <v>26</v>
      </c>
      <c r="D4365" s="10" t="s">
        <v>1</v>
      </c>
      <c r="E4365" s="15">
        <f>6.085-0.046-0.164-0.218-0.07-0.288-0.217-0.218-0.113-0.057-0.325-0.315-0.217-1.067-0.113-1.122-0.385-0.076-0.029-0.113-0.222-0.22-0.219-0.074</f>
        <v>0.19699999999999868</v>
      </c>
    </row>
    <row r="4366" spans="1:5" x14ac:dyDescent="0.3">
      <c r="A4366" s="10">
        <v>351</v>
      </c>
      <c r="B4366" s="10">
        <v>12</v>
      </c>
      <c r="C4366" s="10" t="s">
        <v>26</v>
      </c>
      <c r="D4366" s="10" t="s">
        <v>1</v>
      </c>
      <c r="E4366" s="15">
        <f>1.067-0.273-0.031-0.326</f>
        <v>0.43699999999999989</v>
      </c>
    </row>
    <row r="4367" spans="1:5" x14ac:dyDescent="0.3">
      <c r="A4367" s="8">
        <v>351</v>
      </c>
      <c r="B4367" s="8">
        <v>12</v>
      </c>
      <c r="C4367" s="8" t="s">
        <v>26</v>
      </c>
      <c r="D4367" s="8" t="s">
        <v>64</v>
      </c>
      <c r="E4367" s="9">
        <v>5</v>
      </c>
    </row>
    <row r="4368" spans="1:5" x14ac:dyDescent="0.3">
      <c r="A4368" s="8">
        <v>351</v>
      </c>
      <c r="B4368" s="8">
        <v>14</v>
      </c>
      <c r="C4368" s="8">
        <v>20</v>
      </c>
      <c r="D4368" s="8" t="s">
        <v>1</v>
      </c>
      <c r="E4368" s="9">
        <v>5</v>
      </c>
    </row>
    <row r="4369" spans="1:5" x14ac:dyDescent="0.3">
      <c r="A4369" s="8">
        <v>351</v>
      </c>
      <c r="B4369" s="8">
        <v>14</v>
      </c>
      <c r="C4369" s="8" t="s">
        <v>26</v>
      </c>
      <c r="D4369" s="8" t="s">
        <v>64</v>
      </c>
      <c r="E4369" s="9">
        <v>5</v>
      </c>
    </row>
    <row r="4370" spans="1:5" x14ac:dyDescent="0.3">
      <c r="A4370" s="8">
        <v>351</v>
      </c>
      <c r="B4370" s="8">
        <v>16</v>
      </c>
      <c r="C4370" s="8">
        <v>20</v>
      </c>
      <c r="D4370" s="8" t="s">
        <v>1</v>
      </c>
      <c r="E4370" s="9">
        <v>5</v>
      </c>
    </row>
    <row r="4371" spans="1:5" x14ac:dyDescent="0.3">
      <c r="A4371" s="8">
        <v>351</v>
      </c>
      <c r="B4371" s="8">
        <v>16</v>
      </c>
      <c r="C4371" s="8" t="s">
        <v>26</v>
      </c>
      <c r="D4371" s="8" t="s">
        <v>64</v>
      </c>
      <c r="E4371" s="9">
        <v>5</v>
      </c>
    </row>
    <row r="4372" spans="1:5" x14ac:dyDescent="0.3">
      <c r="A4372" s="10">
        <v>351</v>
      </c>
      <c r="B4372" s="10">
        <v>18</v>
      </c>
      <c r="C4372" s="10">
        <v>20</v>
      </c>
      <c r="D4372" s="10" t="s">
        <v>1</v>
      </c>
      <c r="E4372" s="15">
        <v>1.292</v>
      </c>
    </row>
    <row r="4373" spans="1:5" x14ac:dyDescent="0.3">
      <c r="A4373" s="10">
        <v>351</v>
      </c>
      <c r="B4373" s="10">
        <v>20</v>
      </c>
      <c r="C4373" s="10">
        <v>20</v>
      </c>
      <c r="D4373" s="10" t="s">
        <v>1</v>
      </c>
      <c r="E4373" s="15">
        <f>1.161+4.11-1.161-0.152-0.197-0.499-0.104-0.14-0.036-0.218-0.195-1.339-0.195-0.765-0.161-0.071-0.161+0.449-0.303</f>
        <v>2.3000000000000798E-2</v>
      </c>
    </row>
    <row r="4374" spans="1:5" x14ac:dyDescent="0.3">
      <c r="A4374" s="8">
        <v>351</v>
      </c>
      <c r="B4374" s="8">
        <v>20</v>
      </c>
      <c r="C4374" s="8">
        <v>20</v>
      </c>
      <c r="D4374" s="8" t="s">
        <v>1</v>
      </c>
      <c r="E4374" s="9">
        <v>5</v>
      </c>
    </row>
    <row r="4375" spans="1:5" x14ac:dyDescent="0.3">
      <c r="A4375" s="10">
        <v>351</v>
      </c>
      <c r="B4375" s="10">
        <v>20</v>
      </c>
      <c r="C4375" s="10" t="s">
        <v>26</v>
      </c>
      <c r="D4375" s="10" t="s">
        <v>1</v>
      </c>
      <c r="E4375" s="15">
        <f>19.71-0.111-1.772-7.65-0.057-0.137+1.032+1.266+1.246+1.094-0.162-0.059+4.108-1.01-0.512-3.861-0.054-0.497-0.207-0.111-0.157-0.173-0.051-0.175-0.208-0.039-0.153-0.051-0.108-0.125-0.125-0.21-0.277-0.358-0.113-0.277-0.051-0.282-0.173-0.175</f>
        <v>8.9749999999999925</v>
      </c>
    </row>
    <row r="4376" spans="1:5" x14ac:dyDescent="0.3">
      <c r="A4376" s="10">
        <v>351</v>
      </c>
      <c r="B4376" s="10">
        <v>20</v>
      </c>
      <c r="C4376" s="10">
        <v>45</v>
      </c>
      <c r="D4376" s="10" t="s">
        <v>1</v>
      </c>
      <c r="E4376" s="15">
        <f>5.956-0.058-0.338-0.534-0.042-0.124</f>
        <v>4.8600000000000012</v>
      </c>
    </row>
    <row r="4377" spans="1:5" x14ac:dyDescent="0.3">
      <c r="A4377" s="8">
        <v>351</v>
      </c>
      <c r="B4377" s="8">
        <v>20</v>
      </c>
      <c r="C4377" s="8" t="s">
        <v>28</v>
      </c>
      <c r="D4377" s="8" t="s">
        <v>1</v>
      </c>
      <c r="E4377" s="9">
        <f>2.974+0.211-0.505-0.134+0.094-0.864+1.848-0.214-0.391-0.305-0.098-0.769-0.565-0.426+4.908-0.08</f>
        <v>5.6840000000000011</v>
      </c>
    </row>
    <row r="4378" spans="1:5" x14ac:dyDescent="0.3">
      <c r="A4378" s="8">
        <v>351</v>
      </c>
      <c r="B4378" s="8">
        <v>20</v>
      </c>
      <c r="C4378" s="8" t="s">
        <v>30</v>
      </c>
      <c r="D4378" s="8" t="s">
        <v>1</v>
      </c>
      <c r="E4378" s="9">
        <f>3.994+0.62-0.258-1.754-0.189-0.343-0.51-0.204-0.039+5.368-0.092</f>
        <v>6.5930000000000009</v>
      </c>
    </row>
    <row r="4379" spans="1:5" x14ac:dyDescent="0.3">
      <c r="A4379" s="8">
        <v>351</v>
      </c>
      <c r="B4379" s="8">
        <v>22</v>
      </c>
      <c r="C4379" s="8" t="s">
        <v>26</v>
      </c>
      <c r="D4379" s="8" t="s">
        <v>64</v>
      </c>
      <c r="E4379" s="9">
        <v>5</v>
      </c>
    </row>
    <row r="4380" spans="1:5" x14ac:dyDescent="0.3">
      <c r="A4380" s="10">
        <v>351</v>
      </c>
      <c r="B4380" s="10">
        <v>22</v>
      </c>
      <c r="C4380" s="10" t="s">
        <v>28</v>
      </c>
      <c r="D4380" s="10" t="s">
        <v>1</v>
      </c>
      <c r="E4380" s="15">
        <f>3.533-2.148+0.051-0.138-0.369+4.842</f>
        <v>5.770999999999999</v>
      </c>
    </row>
    <row r="4381" spans="1:5" x14ac:dyDescent="0.3">
      <c r="A4381" s="8">
        <v>351</v>
      </c>
      <c r="B4381" s="8">
        <v>25</v>
      </c>
      <c r="C4381" s="8">
        <v>20</v>
      </c>
      <c r="D4381" s="8" t="s">
        <v>1</v>
      </c>
      <c r="E4381" s="9">
        <v>5</v>
      </c>
    </row>
    <row r="4382" spans="1:5" x14ac:dyDescent="0.3">
      <c r="A4382" s="10">
        <v>351</v>
      </c>
      <c r="B4382" s="10">
        <v>25</v>
      </c>
      <c r="C4382" s="10">
        <v>20</v>
      </c>
      <c r="D4382" s="10" t="s">
        <v>32</v>
      </c>
      <c r="E4382" s="15">
        <f>2.413-0.078</f>
        <v>2.335</v>
      </c>
    </row>
    <row r="4383" spans="1:5" x14ac:dyDescent="0.3">
      <c r="A4383" s="10">
        <v>351</v>
      </c>
      <c r="B4383" s="10">
        <v>25</v>
      </c>
      <c r="C4383" s="10" t="s">
        <v>26</v>
      </c>
      <c r="D4383" s="10" t="s">
        <v>64</v>
      </c>
      <c r="E4383" s="15">
        <f>19.31-0.12-0.13-0.233-0.985-0.035-0.923-2.389-0.556-0.059-0.212-0.412-0.029</f>
        <v>13.227</v>
      </c>
    </row>
    <row r="4384" spans="1:5" x14ac:dyDescent="0.3">
      <c r="A4384" s="10">
        <v>351</v>
      </c>
      <c r="B4384" s="10">
        <v>25</v>
      </c>
      <c r="C4384" s="10">
        <v>45</v>
      </c>
      <c r="D4384" s="10" t="s">
        <v>1</v>
      </c>
      <c r="E4384" s="15">
        <f>5.753-0.072-0.141-0.061-0.414-0.112-1.454-0.155-0.074-0.293-0.092-0.065-0.047-0.05-0.212</f>
        <v>2.5110000000000006</v>
      </c>
    </row>
    <row r="4385" spans="1:5" x14ac:dyDescent="0.3">
      <c r="A4385" s="8">
        <v>351</v>
      </c>
      <c r="B4385" s="8">
        <v>25</v>
      </c>
      <c r="C4385" s="8" t="s">
        <v>28</v>
      </c>
      <c r="D4385" s="8" t="s">
        <v>1</v>
      </c>
      <c r="E4385" s="9">
        <f>3.18+0.92-0.208-0.216-1.409-1.772+4.12-0.145-4.12-0.11+3.682+1.24-1.29-0.25-0.112-0.114</f>
        <v>3.3960000000000008</v>
      </c>
    </row>
    <row r="4386" spans="1:5" x14ac:dyDescent="0.3">
      <c r="A4386" s="10">
        <v>351</v>
      </c>
      <c r="B4386" s="10">
        <v>25</v>
      </c>
      <c r="C4386" s="10" t="s">
        <v>30</v>
      </c>
      <c r="D4386" s="10" t="s">
        <v>1</v>
      </c>
      <c r="E4386" s="15">
        <f>5.382-1.41-1.244-0.41</f>
        <v>2.3179999999999996</v>
      </c>
    </row>
    <row r="4387" spans="1:5" x14ac:dyDescent="0.3">
      <c r="A4387" s="10">
        <v>351</v>
      </c>
      <c r="B4387" s="10">
        <v>26</v>
      </c>
      <c r="C4387" s="10">
        <v>45</v>
      </c>
      <c r="D4387" s="10" t="s">
        <v>1</v>
      </c>
      <c r="E4387" s="15">
        <f>10.162-0.156-0.428-0.326</f>
        <v>9.2519999999999989</v>
      </c>
    </row>
    <row r="4388" spans="1:5" x14ac:dyDescent="0.3">
      <c r="A4388" s="10">
        <v>351</v>
      </c>
      <c r="B4388" s="10">
        <v>28</v>
      </c>
      <c r="C4388" s="10" t="s">
        <v>28</v>
      </c>
      <c r="D4388" s="10" t="s">
        <v>1</v>
      </c>
      <c r="E4388" s="15">
        <v>4.6920000000000002</v>
      </c>
    </row>
    <row r="4389" spans="1:5" x14ac:dyDescent="0.3">
      <c r="A4389" s="10">
        <v>351</v>
      </c>
      <c r="B4389" s="10">
        <v>28</v>
      </c>
      <c r="C4389" s="10" t="s">
        <v>30</v>
      </c>
      <c r="D4389" s="10" t="s">
        <v>1</v>
      </c>
      <c r="E4389" s="15">
        <v>5.2880000000000003</v>
      </c>
    </row>
    <row r="4390" spans="1:5" x14ac:dyDescent="0.3">
      <c r="A4390" s="10">
        <v>351</v>
      </c>
      <c r="B4390" s="10">
        <v>30</v>
      </c>
      <c r="C4390" s="10">
        <v>20</v>
      </c>
      <c r="D4390" s="10" t="s">
        <v>1</v>
      </c>
      <c r="E4390" s="15">
        <f>5.594+1.689-0.486-0.084-0.367-0.143-0.721-1.12-0.25-0.036-0.167-0.049-0.115-0.081-1.08-0.321-0.695-0.079-0.176</f>
        <v>1.3130000000000015</v>
      </c>
    </row>
    <row r="4391" spans="1:5" x14ac:dyDescent="0.3">
      <c r="A4391" s="8">
        <v>351</v>
      </c>
      <c r="B4391" s="8">
        <v>30</v>
      </c>
      <c r="C4391" s="8">
        <v>20</v>
      </c>
      <c r="D4391" s="8" t="s">
        <v>1</v>
      </c>
      <c r="E4391" s="9">
        <v>5</v>
      </c>
    </row>
    <row r="4392" spans="1:5" x14ac:dyDescent="0.3">
      <c r="A4392" s="10">
        <v>351</v>
      </c>
      <c r="B4392" s="10">
        <v>30</v>
      </c>
      <c r="C4392" s="10" t="s">
        <v>26</v>
      </c>
      <c r="D4392" s="10" t="s">
        <v>1</v>
      </c>
      <c r="E4392" s="15">
        <f>8.722-0.06-0.091-0.1-5.56-0.112-1.196-0.131-0.317-0.367-0.274-0.074-0.203+10.51-0.079-7.978+10.3-0.181-0.112-0.547-0.486-0.963-0.476-0.115-0.077-0.488-1.817-0.084-0.06-0.039-0.203</f>
        <v>7.3420000000000023</v>
      </c>
    </row>
    <row r="4393" spans="1:5" x14ac:dyDescent="0.3">
      <c r="A4393" s="8">
        <v>351</v>
      </c>
      <c r="B4393" s="8">
        <v>30</v>
      </c>
      <c r="C4393" s="8">
        <v>45</v>
      </c>
      <c r="D4393" s="8" t="s">
        <v>1</v>
      </c>
      <c r="E4393" s="9">
        <v>5</v>
      </c>
    </row>
    <row r="4394" spans="1:5" x14ac:dyDescent="0.3">
      <c r="A4394" s="10">
        <v>351</v>
      </c>
      <c r="B4394" s="10">
        <v>30</v>
      </c>
      <c r="C4394" s="10" t="s">
        <v>28</v>
      </c>
      <c r="D4394" s="10" t="s">
        <v>1</v>
      </c>
      <c r="E4394" s="15">
        <f>10.266-0.963-1.173-0.583-0.607-0.243</f>
        <v>6.6970000000000001</v>
      </c>
    </row>
    <row r="4395" spans="1:5" x14ac:dyDescent="0.3">
      <c r="A4395" s="10">
        <v>351</v>
      </c>
      <c r="B4395" s="10">
        <v>30</v>
      </c>
      <c r="C4395" s="10" t="s">
        <v>30</v>
      </c>
      <c r="D4395" s="10" t="s">
        <v>1</v>
      </c>
      <c r="E4395" s="15">
        <f>2.05+8.248-0.24-0.258-3.644-0.123-1.913-1.238-1.308-0.388-0.075</f>
        <v>1.1109999999999964</v>
      </c>
    </row>
    <row r="4396" spans="1:5" x14ac:dyDescent="0.3">
      <c r="A4396" s="8">
        <v>351</v>
      </c>
      <c r="B4396" s="8">
        <v>30</v>
      </c>
      <c r="C4396" s="8" t="s">
        <v>30</v>
      </c>
      <c r="D4396" s="8" t="s">
        <v>1</v>
      </c>
      <c r="E4396" s="9">
        <v>10</v>
      </c>
    </row>
    <row r="4397" spans="1:5" x14ac:dyDescent="0.3">
      <c r="A4397" s="10">
        <v>351</v>
      </c>
      <c r="B4397" s="10">
        <v>32</v>
      </c>
      <c r="C4397" s="10">
        <v>20</v>
      </c>
      <c r="D4397" s="10" t="s">
        <v>1</v>
      </c>
      <c r="E4397" s="15">
        <f>9.545-0.164-0.112-0.114-0.528-0.117</f>
        <v>8.509999999999998</v>
      </c>
    </row>
    <row r="4398" spans="1:5" x14ac:dyDescent="0.3">
      <c r="A4398" s="8">
        <v>351</v>
      </c>
      <c r="B4398" s="8">
        <v>32</v>
      </c>
      <c r="C4398" s="8">
        <v>20</v>
      </c>
      <c r="D4398" s="8" t="s">
        <v>44</v>
      </c>
      <c r="E4398" s="9">
        <v>5.42</v>
      </c>
    </row>
    <row r="4399" spans="1:5" x14ac:dyDescent="0.3">
      <c r="A4399" s="8">
        <v>351</v>
      </c>
      <c r="B4399" s="8">
        <v>32</v>
      </c>
      <c r="C4399" s="8" t="s">
        <v>26</v>
      </c>
      <c r="D4399" s="8" t="s">
        <v>1</v>
      </c>
      <c r="E4399" s="9">
        <v>3</v>
      </c>
    </row>
    <row r="4400" spans="1:5" x14ac:dyDescent="0.3">
      <c r="A4400" s="8">
        <v>351</v>
      </c>
      <c r="B4400" s="8">
        <v>32</v>
      </c>
      <c r="C4400" s="8" t="s">
        <v>200</v>
      </c>
      <c r="D4400" s="8" t="s">
        <v>1</v>
      </c>
      <c r="E4400" s="9">
        <v>15</v>
      </c>
    </row>
    <row r="4401" spans="1:5" x14ac:dyDescent="0.3">
      <c r="A4401" s="10">
        <v>351</v>
      </c>
      <c r="B4401" s="10">
        <v>32</v>
      </c>
      <c r="C4401" s="10">
        <v>35</v>
      </c>
      <c r="D4401" s="10" t="s">
        <v>1</v>
      </c>
      <c r="E4401" s="15">
        <f>5.178-0.19</f>
        <v>4.9879999999999995</v>
      </c>
    </row>
    <row r="4402" spans="1:5" x14ac:dyDescent="0.3">
      <c r="A4402" s="10">
        <v>351</v>
      </c>
      <c r="B4402" s="10">
        <v>32</v>
      </c>
      <c r="C4402" s="10">
        <v>45</v>
      </c>
      <c r="D4402" s="10" t="s">
        <v>1</v>
      </c>
      <c r="E4402" s="15">
        <f>5.184-0.117</f>
        <v>5.0670000000000002</v>
      </c>
    </row>
    <row r="4403" spans="1:5" x14ac:dyDescent="0.3">
      <c r="A4403" s="10">
        <v>351</v>
      </c>
      <c r="B4403" s="10">
        <v>32</v>
      </c>
      <c r="C4403" s="10" t="s">
        <v>28</v>
      </c>
      <c r="D4403" s="10" t="s">
        <v>1</v>
      </c>
      <c r="E4403" s="15">
        <f>4.25+6.195</f>
        <v>10.445</v>
      </c>
    </row>
    <row r="4404" spans="1:5" x14ac:dyDescent="0.3">
      <c r="A4404" s="10">
        <v>351</v>
      </c>
      <c r="B4404" s="10">
        <v>36</v>
      </c>
      <c r="C4404" s="10">
        <v>20</v>
      </c>
      <c r="D4404" s="10" t="s">
        <v>1</v>
      </c>
      <c r="E4404" s="15">
        <v>10.972</v>
      </c>
    </row>
    <row r="4405" spans="1:5" x14ac:dyDescent="0.3">
      <c r="A4405" s="10">
        <v>351</v>
      </c>
      <c r="B4405" s="10">
        <v>36</v>
      </c>
      <c r="C4405" s="10" t="s">
        <v>26</v>
      </c>
      <c r="D4405" s="10" t="s">
        <v>1</v>
      </c>
      <c r="E4405" s="15">
        <f>19.659+8.152-0.155-0.969-0.303-0.229-0.338-0.067-0.303-7.162-0.044-0.602-1.14-0.332</f>
        <v>16.166999999999994</v>
      </c>
    </row>
    <row r="4406" spans="1:5" x14ac:dyDescent="0.3">
      <c r="A4406" s="10">
        <v>351</v>
      </c>
      <c r="B4406" s="10">
        <v>36</v>
      </c>
      <c r="C4406" s="10">
        <v>35</v>
      </c>
      <c r="D4406" s="10" t="s">
        <v>1</v>
      </c>
      <c r="E4406" s="15">
        <f>5.946-2.944</f>
        <v>3.0019999999999998</v>
      </c>
    </row>
    <row r="4407" spans="1:5" x14ac:dyDescent="0.3">
      <c r="A4407" s="10">
        <v>351</v>
      </c>
      <c r="B4407" s="10">
        <v>36</v>
      </c>
      <c r="C4407" s="10">
        <v>45</v>
      </c>
      <c r="D4407" s="10" t="s">
        <v>1</v>
      </c>
      <c r="E4407" s="15">
        <f>8.112-0.562-2.162-0.366-0.368</f>
        <v>4.6539999999999999</v>
      </c>
    </row>
    <row r="4408" spans="1:5" x14ac:dyDescent="0.3">
      <c r="A4408" s="10">
        <v>351</v>
      </c>
      <c r="B4408" s="10">
        <v>36</v>
      </c>
      <c r="C4408" s="10" t="s">
        <v>28</v>
      </c>
      <c r="D4408" s="10" t="s">
        <v>1</v>
      </c>
      <c r="E4408" s="15">
        <f>2.249+0.806+6.711-2.261-3.055-2.203-0.212+4.464-0.881-1.145-1.686-0.218+2.53-0.134-0.534-0.166</f>
        <v>4.2649999999999979</v>
      </c>
    </row>
    <row r="4409" spans="1:5" x14ac:dyDescent="0.3">
      <c r="A4409" s="8">
        <v>351</v>
      </c>
      <c r="B4409" s="8">
        <v>36</v>
      </c>
      <c r="C4409" s="8" t="s">
        <v>30</v>
      </c>
      <c r="D4409" s="8" t="s">
        <v>1</v>
      </c>
      <c r="E4409" s="9">
        <v>5</v>
      </c>
    </row>
    <row r="4410" spans="1:5" x14ac:dyDescent="0.3">
      <c r="A4410" s="10">
        <v>351</v>
      </c>
      <c r="B4410" s="10">
        <v>36</v>
      </c>
      <c r="C4410" s="10" t="s">
        <v>24</v>
      </c>
      <c r="D4410" s="10" t="s">
        <v>1</v>
      </c>
      <c r="E4410" s="15">
        <v>2.4300000000000002</v>
      </c>
    </row>
    <row r="4411" spans="1:5" x14ac:dyDescent="0.3">
      <c r="A4411" s="10">
        <v>351</v>
      </c>
      <c r="B4411" s="10">
        <v>40</v>
      </c>
      <c r="C4411" s="10">
        <v>20</v>
      </c>
      <c r="D4411" s="10" t="s">
        <v>1</v>
      </c>
      <c r="E4411" s="15">
        <f>15.16-0.84-3.251-0.222-0.365-0.587-0.647</f>
        <v>9.2480000000000011</v>
      </c>
    </row>
    <row r="4412" spans="1:5" x14ac:dyDescent="0.3">
      <c r="A4412" s="10">
        <v>351</v>
      </c>
      <c r="B4412" s="10">
        <v>40</v>
      </c>
      <c r="C4412" s="10" t="s">
        <v>26</v>
      </c>
      <c r="D4412" s="10" t="s">
        <v>1</v>
      </c>
      <c r="E4412" s="15">
        <f>9.708-1.883-0.424-0.644-0.452-0.113-0.957-0.36-0.691-0.085-0.264-0.145-0.07-0.267+10.628+1.974-0.515-0.327-2.824-2.021-0.368-0.054-1.974-2.728-0.954</f>
        <v>4.1900000000000004</v>
      </c>
    </row>
    <row r="4413" spans="1:5" x14ac:dyDescent="0.3">
      <c r="A4413" s="10">
        <v>351</v>
      </c>
      <c r="B4413" s="10">
        <v>40</v>
      </c>
      <c r="C4413" s="10">
        <v>35</v>
      </c>
      <c r="D4413" s="10" t="s">
        <v>1</v>
      </c>
      <c r="E4413" s="15">
        <f>6.17-0.327-0.634-1.98-1.098+0.029-1.753-0.14</f>
        <v>0.26699999999999935</v>
      </c>
    </row>
    <row r="4414" spans="1:5" x14ac:dyDescent="0.3">
      <c r="A4414" s="8">
        <v>351</v>
      </c>
      <c r="B4414" s="8">
        <v>40</v>
      </c>
      <c r="C4414" s="8">
        <v>35</v>
      </c>
      <c r="D4414" s="8" t="s">
        <v>1</v>
      </c>
      <c r="E4414" s="9">
        <v>5</v>
      </c>
    </row>
    <row r="4415" spans="1:5" x14ac:dyDescent="0.3">
      <c r="A4415" s="8">
        <v>351</v>
      </c>
      <c r="B4415" s="8">
        <v>40</v>
      </c>
      <c r="C4415" s="8">
        <v>45</v>
      </c>
      <c r="D4415" s="8" t="s">
        <v>1</v>
      </c>
      <c r="E4415" s="9">
        <v>5</v>
      </c>
    </row>
    <row r="4416" spans="1:5" x14ac:dyDescent="0.3">
      <c r="A4416" s="10">
        <v>351</v>
      </c>
      <c r="B4416" s="10">
        <v>40</v>
      </c>
      <c r="C4416" s="10" t="s">
        <v>28</v>
      </c>
      <c r="D4416" s="10" t="s">
        <v>1</v>
      </c>
      <c r="E4416" s="15">
        <f>12.261-0.103-1.252-0.636-4.359-0.769-0.385-0.388-1.841-0.233-0.403-0.171+5.688</f>
        <v>7.4089999999999989</v>
      </c>
    </row>
    <row r="4417" spans="1:5" x14ac:dyDescent="0.3">
      <c r="A4417" s="8">
        <v>351</v>
      </c>
      <c r="B4417" s="8">
        <v>40</v>
      </c>
      <c r="C4417" s="8" t="s">
        <v>30</v>
      </c>
      <c r="D4417" s="8" t="s">
        <v>1</v>
      </c>
      <c r="E4417" s="9">
        <f>2.789-0.068-0.068-0.321-0.093-0.21+6.5+3.32-2.105-0.171-0.079-0.916</f>
        <v>8.5779999999999994</v>
      </c>
    </row>
    <row r="4418" spans="1:5" x14ac:dyDescent="0.3">
      <c r="A4418" s="10">
        <v>351</v>
      </c>
      <c r="B4418" s="10">
        <v>45</v>
      </c>
      <c r="C4418" s="10">
        <v>20</v>
      </c>
      <c r="D4418" s="10" t="s">
        <v>1</v>
      </c>
      <c r="E4418" s="15">
        <f>11.266-0.606-0.284-0.308-0.438-0.27-0.473-0.102-1.269-0.438-0.648-0.718-0.084-0.105-0.186-0.438</f>
        <v>4.8989999999999991</v>
      </c>
    </row>
    <row r="4419" spans="1:5" x14ac:dyDescent="0.3">
      <c r="A4419" s="8">
        <v>351</v>
      </c>
      <c r="B4419" s="8">
        <v>45</v>
      </c>
      <c r="C4419" s="8">
        <v>20</v>
      </c>
      <c r="D4419" s="8" t="s">
        <v>1</v>
      </c>
      <c r="E4419" s="9">
        <v>10</v>
      </c>
    </row>
    <row r="4420" spans="1:5" x14ac:dyDescent="0.3">
      <c r="A4420" s="10">
        <v>351</v>
      </c>
      <c r="B4420" s="10">
        <v>45</v>
      </c>
      <c r="C4420" s="10" t="s">
        <v>26</v>
      </c>
      <c r="D4420" s="10" t="s">
        <v>1</v>
      </c>
      <c r="E4420" s="15">
        <f>9.175-0.54-0.366-1.447-0.713-0.435-0.122-0.366-0.4-0.546-0.361-0.359-0.188-0.359</f>
        <v>2.9730000000000021</v>
      </c>
    </row>
    <row r="4421" spans="1:5" x14ac:dyDescent="0.3">
      <c r="A4421" s="10">
        <v>351</v>
      </c>
      <c r="B4421" s="10">
        <v>45</v>
      </c>
      <c r="C4421" s="10" t="s">
        <v>26</v>
      </c>
      <c r="D4421" s="10" t="s">
        <v>64</v>
      </c>
      <c r="E4421" s="15">
        <v>5.6660000000000004</v>
      </c>
    </row>
    <row r="4422" spans="1:5" x14ac:dyDescent="0.3">
      <c r="A4422" s="10">
        <v>351</v>
      </c>
      <c r="B4422" s="10">
        <v>45</v>
      </c>
      <c r="C4422" s="10">
        <v>35</v>
      </c>
      <c r="D4422" s="10" t="s">
        <v>1</v>
      </c>
      <c r="E4422" s="15">
        <f>5.404+2.756+36.668+12.428+2.931+5.9-1.715</f>
        <v>64.372</v>
      </c>
    </row>
    <row r="4423" spans="1:5" x14ac:dyDescent="0.3">
      <c r="A4423" s="10">
        <v>351</v>
      </c>
      <c r="B4423" s="10">
        <v>45</v>
      </c>
      <c r="C4423" s="10" t="s">
        <v>28</v>
      </c>
      <c r="D4423" s="10" t="s">
        <v>1</v>
      </c>
      <c r="E4423" s="15">
        <f>10.934-0.302</f>
        <v>10.632</v>
      </c>
    </row>
    <row r="4424" spans="1:5" x14ac:dyDescent="0.3">
      <c r="A4424" s="10">
        <v>351</v>
      </c>
      <c r="B4424" s="10">
        <v>45</v>
      </c>
      <c r="C4424" s="10" t="s">
        <v>30</v>
      </c>
      <c r="D4424" s="10" t="s">
        <v>1</v>
      </c>
      <c r="E4424" s="15">
        <f>5.83-0.322-0.226-0.564-0.182-0.158-0.185-0.698-0.137-0.599</f>
        <v>2.7589999999999995</v>
      </c>
    </row>
    <row r="4425" spans="1:5" x14ac:dyDescent="0.3">
      <c r="A4425" s="10">
        <v>351</v>
      </c>
      <c r="B4425" s="10">
        <v>50</v>
      </c>
      <c r="C4425" s="10">
        <v>20</v>
      </c>
      <c r="D4425" s="10" t="s">
        <v>1</v>
      </c>
      <c r="E4425" s="15">
        <f>3.184+2.988-0.577-0.755-0.664-0.211-0.102-0.754+23.906-0.309-0.204-0.121-0.581-0.576-0.2</f>
        <v>25.024000000000001</v>
      </c>
    </row>
    <row r="4426" spans="1:5" x14ac:dyDescent="0.3">
      <c r="A4426" s="10">
        <v>351</v>
      </c>
      <c r="B4426" s="10">
        <v>50</v>
      </c>
      <c r="C4426" s="10" t="s">
        <v>26</v>
      </c>
      <c r="D4426" s="10" t="s">
        <v>1</v>
      </c>
      <c r="E4426" s="15">
        <f>9.039-0.765-2.265-0.125-0.453-0.276-0.279-0.709-0.328-1.545-0.69+11.252+2.81-0.471-0.242-0.897-0.057-0.219-0.189-0.2-0.844-0.547-0.434</f>
        <v>11.566000000000001</v>
      </c>
    </row>
    <row r="4427" spans="1:5" x14ac:dyDescent="0.3">
      <c r="A4427" s="8">
        <v>351</v>
      </c>
      <c r="B4427" s="8">
        <v>50</v>
      </c>
      <c r="C4427" s="8">
        <v>35</v>
      </c>
      <c r="D4427" s="8" t="s">
        <v>15</v>
      </c>
      <c r="E4427" s="9">
        <f>2.412+7.153-2.287-0.857+0.396-0.396-2.401-0.586-0.43-0.255-0.339-0.64-0.21-0.586-0.225-0.392-0.236</f>
        <v>0.12099999999999966</v>
      </c>
    </row>
    <row r="4428" spans="1:5" x14ac:dyDescent="0.3">
      <c r="A4428" s="10">
        <v>351</v>
      </c>
      <c r="B4428" s="10">
        <v>50</v>
      </c>
      <c r="C4428" s="10">
        <v>35</v>
      </c>
      <c r="D4428" s="10" t="s">
        <v>1</v>
      </c>
      <c r="E4428" s="15">
        <f>6.665-0.257-3.072+0.026-0.578</f>
        <v>2.7840000000000003</v>
      </c>
    </row>
    <row r="4429" spans="1:5" x14ac:dyDescent="0.3">
      <c r="A4429" s="8">
        <v>351</v>
      </c>
      <c r="B4429" s="8">
        <v>50</v>
      </c>
      <c r="C4429" s="8">
        <v>35</v>
      </c>
      <c r="D4429" s="8" t="s">
        <v>1</v>
      </c>
      <c r="E4429" s="9">
        <v>5</v>
      </c>
    </row>
    <row r="4430" spans="1:5" x14ac:dyDescent="0.3">
      <c r="A4430" s="10">
        <v>351</v>
      </c>
      <c r="B4430" s="10">
        <v>50</v>
      </c>
      <c r="C4430" s="10">
        <v>45</v>
      </c>
      <c r="D4430" s="10" t="s">
        <v>1</v>
      </c>
      <c r="E4430" s="15">
        <f>4.98-0.624-0.775-0.223-0.322-0.208-0.325-0.586-0.435-0.25-1.15</f>
        <v>8.2000000000000739E-2</v>
      </c>
    </row>
    <row r="4431" spans="1:5" x14ac:dyDescent="0.3">
      <c r="A4431" s="8">
        <v>351</v>
      </c>
      <c r="B4431" s="8">
        <v>50</v>
      </c>
      <c r="C4431" s="8">
        <v>45</v>
      </c>
      <c r="D4431" s="8" t="s">
        <v>1</v>
      </c>
      <c r="E4431" s="9">
        <v>5</v>
      </c>
    </row>
    <row r="4432" spans="1:5" x14ac:dyDescent="0.3">
      <c r="A4432" s="10">
        <v>351</v>
      </c>
      <c r="B4432" s="10">
        <v>50</v>
      </c>
      <c r="C4432" s="10" t="s">
        <v>28</v>
      </c>
      <c r="D4432" s="10" t="s">
        <v>1</v>
      </c>
      <c r="E4432" s="15">
        <f>3.54+6.865+9.05-0.361-1.195</f>
        <v>17.899000000000001</v>
      </c>
    </row>
    <row r="4433" spans="1:5" x14ac:dyDescent="0.3">
      <c r="A4433" s="8">
        <v>351</v>
      </c>
      <c r="B4433" s="8">
        <v>50</v>
      </c>
      <c r="C4433" s="8" t="s">
        <v>30</v>
      </c>
      <c r="D4433" s="8" t="s">
        <v>1</v>
      </c>
      <c r="E4433" s="9">
        <v>5</v>
      </c>
    </row>
    <row r="4434" spans="1:5" x14ac:dyDescent="0.3">
      <c r="A4434" s="10">
        <v>351</v>
      </c>
      <c r="B4434" s="10">
        <v>56</v>
      </c>
      <c r="C4434" s="10" t="s">
        <v>28</v>
      </c>
      <c r="D4434" s="10" t="s">
        <v>1</v>
      </c>
      <c r="E4434" s="15">
        <f>8.42-1.018-1.145-2.241-1.288-1.145-0.225+8.996</f>
        <v>10.353999999999999</v>
      </c>
    </row>
    <row r="4435" spans="1:5" x14ac:dyDescent="0.3">
      <c r="A4435" s="10">
        <v>351</v>
      </c>
      <c r="B4435" s="10">
        <v>56</v>
      </c>
      <c r="C4435" s="10" t="s">
        <v>45</v>
      </c>
      <c r="D4435" s="10" t="s">
        <v>32</v>
      </c>
      <c r="E4435" s="15">
        <f>2.499-0.456</f>
        <v>2.0430000000000001</v>
      </c>
    </row>
    <row r="4436" spans="1:5" x14ac:dyDescent="0.3">
      <c r="A4436" s="10">
        <v>351</v>
      </c>
      <c r="B4436" s="10">
        <v>58</v>
      </c>
      <c r="C4436" s="10" t="s">
        <v>24</v>
      </c>
      <c r="D4436" s="10" t="s">
        <v>1</v>
      </c>
      <c r="E4436" s="15">
        <v>2.1629999999999998</v>
      </c>
    </row>
    <row r="4437" spans="1:5" x14ac:dyDescent="0.3">
      <c r="A4437" s="10">
        <v>351</v>
      </c>
      <c r="B4437" s="10">
        <v>60</v>
      </c>
      <c r="C4437" s="10">
        <v>20</v>
      </c>
      <c r="D4437" s="10" t="s">
        <v>1</v>
      </c>
      <c r="E4437" s="15">
        <f>8.26-0.787-0.503-5.753-0.21+2.498+10.062-0.455-0.197-0.18-0.088-0.175-2.556-2.652-0.385-0.455</f>
        <v>6.4240000000000004</v>
      </c>
    </row>
    <row r="4438" spans="1:5" x14ac:dyDescent="0.3">
      <c r="A4438" s="10">
        <v>351</v>
      </c>
      <c r="B4438" s="10">
        <v>60</v>
      </c>
      <c r="C4438" s="10" t="s">
        <v>26</v>
      </c>
      <c r="D4438" s="10" t="s">
        <v>1</v>
      </c>
      <c r="E4438" s="15">
        <f>10.351-0.252-0.19-1.45-1.282-0.986-0.685-0.641-1.993-0.456-1.039-0.557+4.898+2.46+1.996-0.341-0.588-0.818-0.462-0.46-0.199-0.394-0.186-0.69</f>
        <v>6.0360000000000031</v>
      </c>
    </row>
    <row r="4439" spans="1:5" x14ac:dyDescent="0.3">
      <c r="A4439" s="8">
        <v>351</v>
      </c>
      <c r="B4439" s="8">
        <v>60</v>
      </c>
      <c r="C4439" s="8" t="s">
        <v>26</v>
      </c>
      <c r="D4439" s="8" t="s">
        <v>20</v>
      </c>
      <c r="E4439" s="9">
        <v>2.6739999999999999</v>
      </c>
    </row>
    <row r="4440" spans="1:5" x14ac:dyDescent="0.3">
      <c r="A4440" s="8">
        <v>351</v>
      </c>
      <c r="B4440" s="8">
        <v>60</v>
      </c>
      <c r="C4440" s="8">
        <v>35</v>
      </c>
      <c r="D4440" s="8" t="s">
        <v>1</v>
      </c>
      <c r="E4440" s="9">
        <v>10</v>
      </c>
    </row>
    <row r="4441" spans="1:5" x14ac:dyDescent="0.3">
      <c r="A4441" s="8">
        <v>351</v>
      </c>
      <c r="B4441" s="8">
        <v>60</v>
      </c>
      <c r="C4441" s="8">
        <v>45</v>
      </c>
      <c r="D4441" s="8" t="s">
        <v>1</v>
      </c>
      <c r="E4441" s="9">
        <v>5</v>
      </c>
    </row>
    <row r="4442" spans="1:5" x14ac:dyDescent="0.3">
      <c r="A4442" s="8">
        <v>351</v>
      </c>
      <c r="B4442" s="8">
        <v>60</v>
      </c>
      <c r="C4442" s="8" t="s">
        <v>30</v>
      </c>
      <c r="D4442" s="8" t="s">
        <v>1</v>
      </c>
      <c r="E4442" s="9">
        <v>5</v>
      </c>
    </row>
    <row r="4443" spans="1:5" x14ac:dyDescent="0.3">
      <c r="A4443" s="10">
        <v>351</v>
      </c>
      <c r="B4443" s="10">
        <v>70</v>
      </c>
      <c r="C4443" s="10">
        <v>20</v>
      </c>
      <c r="D4443" s="10" t="s">
        <v>1</v>
      </c>
      <c r="E4443" s="15">
        <f>18.018-3.659-2.055</f>
        <v>12.304000000000002</v>
      </c>
    </row>
    <row r="4444" spans="1:5" x14ac:dyDescent="0.3">
      <c r="A4444" s="8">
        <v>351</v>
      </c>
      <c r="B4444" s="8">
        <v>70</v>
      </c>
      <c r="C4444" s="8" t="s">
        <v>26</v>
      </c>
      <c r="D4444" s="8" t="s">
        <v>1</v>
      </c>
      <c r="E4444" s="9">
        <f>7.704+2.725-0.253</f>
        <v>10.176</v>
      </c>
    </row>
    <row r="4445" spans="1:5" x14ac:dyDescent="0.3">
      <c r="A4445" s="10">
        <v>351</v>
      </c>
      <c r="B4445" s="10">
        <v>70</v>
      </c>
      <c r="C4445" s="10">
        <v>35</v>
      </c>
      <c r="D4445" s="10" t="s">
        <v>1</v>
      </c>
      <c r="E4445" s="15">
        <f>7.875-1.115-0.336-3.948-0.195</f>
        <v>2.2809999999999997</v>
      </c>
    </row>
    <row r="4446" spans="1:5" x14ac:dyDescent="0.3">
      <c r="A4446" s="8">
        <v>351</v>
      </c>
      <c r="B4446" s="8">
        <v>70</v>
      </c>
      <c r="C4446" s="8">
        <v>35</v>
      </c>
      <c r="D4446" s="8" t="s">
        <v>1</v>
      </c>
      <c r="E4446" s="9">
        <v>5</v>
      </c>
    </row>
    <row r="4447" spans="1:5" x14ac:dyDescent="0.3">
      <c r="A4447" s="10">
        <v>351</v>
      </c>
      <c r="B4447" s="10">
        <v>70</v>
      </c>
      <c r="C4447" s="10">
        <v>45</v>
      </c>
      <c r="D4447" s="10" t="s">
        <v>1</v>
      </c>
      <c r="E4447" s="15">
        <f>3.022+3.028-0.512-0.516</f>
        <v>5.0220000000000002</v>
      </c>
    </row>
    <row r="4448" spans="1:5" x14ac:dyDescent="0.3">
      <c r="A4448" s="8">
        <v>351</v>
      </c>
      <c r="B4448" s="8">
        <v>70</v>
      </c>
      <c r="C4448" s="8" t="s">
        <v>28</v>
      </c>
      <c r="D4448" s="8" t="s">
        <v>1</v>
      </c>
      <c r="E4448" s="9">
        <f>8.112-1.544-1.193-3.02-0.877-0.341-0.828+10.4-0.661-3.572-3.488-2.713+0.302-0.254+4.112+8.134</f>
        <v>12.569000000000001</v>
      </c>
    </row>
    <row r="4449" spans="1:5" x14ac:dyDescent="0.3">
      <c r="A4449" s="10">
        <v>351</v>
      </c>
      <c r="B4449" s="10">
        <v>70</v>
      </c>
      <c r="C4449" s="10" t="s">
        <v>30</v>
      </c>
      <c r="D4449" s="10" t="s">
        <v>1</v>
      </c>
      <c r="E4449" s="15">
        <f>8.2+5.63-1.404-0.22-0.224</f>
        <v>11.981999999999998</v>
      </c>
    </row>
    <row r="4450" spans="1:5" x14ac:dyDescent="0.3">
      <c r="A4450" s="8">
        <v>351</v>
      </c>
      <c r="B4450" s="8">
        <v>80</v>
      </c>
      <c r="C4450" s="8">
        <v>20</v>
      </c>
      <c r="D4450" s="8" t="s">
        <v>1</v>
      </c>
      <c r="E4450" s="9">
        <v>5</v>
      </c>
    </row>
    <row r="4451" spans="1:5" x14ac:dyDescent="0.3">
      <c r="A4451" s="8">
        <v>351</v>
      </c>
      <c r="B4451" s="8">
        <v>80</v>
      </c>
      <c r="C4451" s="8">
        <v>45</v>
      </c>
      <c r="D4451" s="8" t="s">
        <v>1</v>
      </c>
      <c r="E4451" s="9">
        <v>8.4939999999999998</v>
      </c>
    </row>
    <row r="4452" spans="1:5" x14ac:dyDescent="0.3">
      <c r="A4452" s="8">
        <v>351</v>
      </c>
      <c r="B4452" s="8">
        <v>80</v>
      </c>
      <c r="C4452" s="8" t="s">
        <v>28</v>
      </c>
      <c r="D4452" s="8" t="s">
        <v>1</v>
      </c>
      <c r="E4452" s="9">
        <v>8.3919999999999995</v>
      </c>
    </row>
    <row r="4453" spans="1:5" x14ac:dyDescent="0.3">
      <c r="A4453" s="10">
        <v>355</v>
      </c>
      <c r="B4453" s="10">
        <v>30</v>
      </c>
      <c r="C4453" s="10">
        <v>20</v>
      </c>
      <c r="D4453" s="10" t="s">
        <v>1</v>
      </c>
      <c r="E4453" s="15">
        <f>2.737-0.131-0.37</f>
        <v>2.2359999999999998</v>
      </c>
    </row>
    <row r="4454" spans="1:5" x14ac:dyDescent="0.3">
      <c r="A4454" s="10">
        <v>355.6</v>
      </c>
      <c r="B4454" s="10">
        <v>9</v>
      </c>
      <c r="C4454" s="10" t="s">
        <v>26</v>
      </c>
      <c r="D4454" s="10" t="s">
        <v>60</v>
      </c>
      <c r="E4454" s="15">
        <f>0.923+0.923-0.168-0.035-0.119-0.082</f>
        <v>1.4420000000000002</v>
      </c>
    </row>
    <row r="4455" spans="1:5" x14ac:dyDescent="0.3">
      <c r="A4455" s="10">
        <v>356</v>
      </c>
      <c r="B4455" s="10">
        <v>8</v>
      </c>
      <c r="C4455" s="10" t="s">
        <v>139</v>
      </c>
      <c r="D4455" s="10" t="s">
        <v>114</v>
      </c>
      <c r="E4455" s="15">
        <v>1.55</v>
      </c>
    </row>
    <row r="4456" spans="1:5" x14ac:dyDescent="0.3">
      <c r="A4456" s="8">
        <v>356</v>
      </c>
      <c r="B4456" s="8">
        <v>9</v>
      </c>
      <c r="C4456" s="8">
        <v>20</v>
      </c>
      <c r="D4456" s="8" t="s">
        <v>1</v>
      </c>
      <c r="E4456" s="9">
        <f>0.764-0.025-0.129-0.238-0.041-0.301</f>
        <v>3.0000000000000027E-2</v>
      </c>
    </row>
    <row r="4457" spans="1:5" x14ac:dyDescent="0.3">
      <c r="A4457" s="8">
        <v>356</v>
      </c>
      <c r="B4457" s="8">
        <v>9</v>
      </c>
      <c r="C4457" s="8" t="s">
        <v>26</v>
      </c>
      <c r="D4457" s="8" t="s">
        <v>64</v>
      </c>
      <c r="E4457" s="9">
        <f>1.5+0.644+2.212+0.91</f>
        <v>5.266</v>
      </c>
    </row>
    <row r="4458" spans="1:5" x14ac:dyDescent="0.3">
      <c r="A4458" s="10">
        <v>356</v>
      </c>
      <c r="B4458" s="10">
        <v>10</v>
      </c>
      <c r="C4458" s="10">
        <v>20</v>
      </c>
      <c r="D4458" s="10" t="s">
        <v>1</v>
      </c>
      <c r="E4458" s="15">
        <f>0.888-0.184-0.016+0.181-0.133-0.091-0.09-0.082-0.14-0.206</f>
        <v>0.12700000000000003</v>
      </c>
    </row>
    <row r="4459" spans="1:5" x14ac:dyDescent="0.3">
      <c r="A4459" s="8">
        <v>356</v>
      </c>
      <c r="B4459" s="8">
        <v>10</v>
      </c>
      <c r="C4459" s="8" t="s">
        <v>26</v>
      </c>
      <c r="D4459" s="8" t="s">
        <v>64</v>
      </c>
      <c r="E4459" s="9">
        <f>4.48-0.519-0.046-3.623</f>
        <v>0.29200000000000026</v>
      </c>
    </row>
    <row r="4460" spans="1:5" x14ac:dyDescent="0.3">
      <c r="A4460" s="8">
        <v>356</v>
      </c>
      <c r="B4460" s="8">
        <v>10</v>
      </c>
      <c r="C4460" s="8" t="s">
        <v>26</v>
      </c>
      <c r="D4460" s="8" t="s">
        <v>64</v>
      </c>
      <c r="E4460" s="9">
        <f>0.684+3.623-0.176-0.864</f>
        <v>3.2670000000000003</v>
      </c>
    </row>
    <row r="4461" spans="1:5" x14ac:dyDescent="0.3">
      <c r="A4461" s="8">
        <v>356</v>
      </c>
      <c r="B4461" s="8">
        <v>10</v>
      </c>
      <c r="C4461" s="8" t="s">
        <v>26</v>
      </c>
      <c r="D4461" s="8" t="s">
        <v>64</v>
      </c>
      <c r="E4461" s="9">
        <f>5-0.906-2.664-0.684</f>
        <v>0.74600000000000011</v>
      </c>
    </row>
    <row r="4462" spans="1:5" x14ac:dyDescent="0.3">
      <c r="A4462" s="8">
        <v>356</v>
      </c>
      <c r="B4462" s="8">
        <v>11</v>
      </c>
      <c r="C4462" s="8" t="s">
        <v>26</v>
      </c>
      <c r="D4462" s="8" t="s">
        <v>1</v>
      </c>
      <c r="E4462" s="9">
        <v>2.1030000000000002</v>
      </c>
    </row>
    <row r="4463" spans="1:5" x14ac:dyDescent="0.3">
      <c r="A4463" s="8">
        <v>356</v>
      </c>
      <c r="B4463" s="8">
        <v>12</v>
      </c>
      <c r="C4463" s="8" t="s">
        <v>26</v>
      </c>
      <c r="D4463" s="8" t="s">
        <v>64</v>
      </c>
      <c r="E4463" s="9">
        <f>3.622+0.936-0.775</f>
        <v>3.7829999999999999</v>
      </c>
    </row>
    <row r="4464" spans="1:5" x14ac:dyDescent="0.3">
      <c r="A4464" s="8">
        <v>356</v>
      </c>
      <c r="B4464" s="8">
        <v>12</v>
      </c>
      <c r="C4464" s="8" t="s">
        <v>26</v>
      </c>
      <c r="D4464" s="8" t="s">
        <v>64</v>
      </c>
      <c r="E4464" s="9">
        <f>5-0.936-3.622</f>
        <v>0.44200000000000017</v>
      </c>
    </row>
    <row r="4465" spans="1:5" x14ac:dyDescent="0.3">
      <c r="A4465" s="10">
        <v>356</v>
      </c>
      <c r="B4465" s="10">
        <v>13</v>
      </c>
      <c r="C4465" s="10" t="s">
        <v>26</v>
      </c>
      <c r="D4465" s="10" t="s">
        <v>1</v>
      </c>
      <c r="E4465" s="15">
        <v>2.0099999999999998</v>
      </c>
    </row>
    <row r="4466" spans="1:5" x14ac:dyDescent="0.3">
      <c r="A4466" s="8">
        <v>356</v>
      </c>
      <c r="B4466" s="8">
        <v>14</v>
      </c>
      <c r="C4466" s="8" t="s">
        <v>26</v>
      </c>
      <c r="D4466" s="8" t="s">
        <v>64</v>
      </c>
      <c r="E4466" s="9">
        <v>5</v>
      </c>
    </row>
    <row r="4467" spans="1:5" x14ac:dyDescent="0.3">
      <c r="A4467" s="8">
        <v>356</v>
      </c>
      <c r="B4467" s="8">
        <v>16</v>
      </c>
      <c r="C4467" s="8">
        <v>20</v>
      </c>
      <c r="D4467" s="8" t="s">
        <v>1</v>
      </c>
      <c r="E4467" s="9">
        <v>5</v>
      </c>
    </row>
    <row r="4468" spans="1:5" x14ac:dyDescent="0.3">
      <c r="A4468" s="8">
        <v>356</v>
      </c>
      <c r="B4468" s="8">
        <v>16</v>
      </c>
      <c r="C4468" s="8" t="s">
        <v>26</v>
      </c>
      <c r="D4468" s="8" t="s">
        <v>64</v>
      </c>
      <c r="E4468" s="9">
        <v>5</v>
      </c>
    </row>
    <row r="4469" spans="1:5" x14ac:dyDescent="0.3">
      <c r="A4469" s="8">
        <v>356</v>
      </c>
      <c r="B4469" s="8">
        <v>18</v>
      </c>
      <c r="C4469" s="8" t="s">
        <v>26</v>
      </c>
      <c r="D4469" s="8" t="s">
        <v>64</v>
      </c>
      <c r="E4469" s="9">
        <v>5</v>
      </c>
    </row>
    <row r="4470" spans="1:5" x14ac:dyDescent="0.3">
      <c r="A4470" s="8">
        <v>356</v>
      </c>
      <c r="B4470" s="8">
        <v>20</v>
      </c>
      <c r="C4470" s="8" t="s">
        <v>26</v>
      </c>
      <c r="D4470" s="8" t="s">
        <v>64</v>
      </c>
      <c r="E4470" s="9">
        <v>7</v>
      </c>
    </row>
    <row r="4471" spans="1:5" x14ac:dyDescent="0.3">
      <c r="A4471" s="10">
        <v>356</v>
      </c>
      <c r="B4471" s="10">
        <v>20</v>
      </c>
      <c r="C4471" s="10" t="s">
        <v>28</v>
      </c>
      <c r="D4471" s="10" t="s">
        <v>1</v>
      </c>
      <c r="E4471" s="15">
        <f>1.419-0.281-0.056-0.089-0.086</f>
        <v>0.90699999999999992</v>
      </c>
    </row>
    <row r="4472" spans="1:5" x14ac:dyDescent="0.3">
      <c r="A4472" s="10">
        <v>356</v>
      </c>
      <c r="B4472" s="10">
        <v>22</v>
      </c>
      <c r="C4472" s="10" t="s">
        <v>28</v>
      </c>
      <c r="D4472" s="10" t="s">
        <v>1</v>
      </c>
      <c r="E4472" s="15">
        <f>9.578-0.073+5.378-0.191-7.602</f>
        <v>7.0899999999999981</v>
      </c>
    </row>
    <row r="4473" spans="1:5" x14ac:dyDescent="0.3">
      <c r="A4473" s="8">
        <v>356</v>
      </c>
      <c r="B4473" s="8">
        <v>25</v>
      </c>
      <c r="C4473" s="8" t="s">
        <v>26</v>
      </c>
      <c r="D4473" s="8" t="s">
        <v>64</v>
      </c>
      <c r="E4473" s="9">
        <v>7</v>
      </c>
    </row>
    <row r="4474" spans="1:5" x14ac:dyDescent="0.3">
      <c r="A4474" s="10">
        <v>356</v>
      </c>
      <c r="B4474" s="10">
        <v>28</v>
      </c>
      <c r="C4474" s="10" t="s">
        <v>26</v>
      </c>
      <c r="D4474" s="10" t="s">
        <v>1</v>
      </c>
      <c r="E4474" s="15">
        <f>4.31+0.82-0.274-2.757-0.518-0.151-0.552-0.825</f>
        <v>5.2999999999999714E-2</v>
      </c>
    </row>
    <row r="4475" spans="1:5" x14ac:dyDescent="0.3">
      <c r="A4475" s="8">
        <v>356</v>
      </c>
      <c r="B4475" s="8">
        <v>28</v>
      </c>
      <c r="C4475" s="8" t="s">
        <v>26</v>
      </c>
      <c r="D4475" s="8" t="s">
        <v>64</v>
      </c>
      <c r="E4475" s="9">
        <f>12.158+6.954</f>
        <v>19.111999999999998</v>
      </c>
    </row>
    <row r="4476" spans="1:5" x14ac:dyDescent="0.3">
      <c r="A4476" s="8">
        <v>356</v>
      </c>
      <c r="B4476" s="8">
        <v>30</v>
      </c>
      <c r="C4476" s="8">
        <v>20</v>
      </c>
      <c r="D4476" s="8" t="s">
        <v>1</v>
      </c>
      <c r="E4476" s="9">
        <v>5</v>
      </c>
    </row>
    <row r="4477" spans="1:5" x14ac:dyDescent="0.3">
      <c r="A4477" s="10">
        <v>356</v>
      </c>
      <c r="B4477" s="10">
        <v>30</v>
      </c>
      <c r="C4477" s="10" t="s">
        <v>26</v>
      </c>
      <c r="D4477" s="10" t="s">
        <v>1</v>
      </c>
      <c r="E4477" s="15">
        <f>10.316-0.131-2.389-5.281-0.109-0.252</f>
        <v>2.1540000000000017</v>
      </c>
    </row>
    <row r="4478" spans="1:5" x14ac:dyDescent="0.3">
      <c r="A4478" s="8">
        <v>356</v>
      </c>
      <c r="B4478" s="8">
        <v>30</v>
      </c>
      <c r="C4478" s="8" t="s">
        <v>26</v>
      </c>
      <c r="D4478" s="8" t="s">
        <v>64</v>
      </c>
      <c r="E4478" s="9">
        <v>7</v>
      </c>
    </row>
    <row r="4479" spans="1:5" x14ac:dyDescent="0.3">
      <c r="A4479" s="13">
        <v>356</v>
      </c>
      <c r="B4479" s="13">
        <v>30</v>
      </c>
      <c r="C4479" s="8" t="s">
        <v>28</v>
      </c>
      <c r="D4479" s="8" t="s">
        <v>1</v>
      </c>
      <c r="E4479" s="9">
        <f>2.91+2.679-0.255-2.44-0.489+0.015-0.494-0.4-0.739-0.32-0.121-0.177</f>
        <v>0.16900000000000071</v>
      </c>
    </row>
    <row r="4480" spans="1:5" x14ac:dyDescent="0.3">
      <c r="A4480" s="10">
        <v>356</v>
      </c>
      <c r="B4480" s="10">
        <v>32</v>
      </c>
      <c r="C4480" s="10">
        <v>45</v>
      </c>
      <c r="D4480" s="10" t="s">
        <v>1</v>
      </c>
      <c r="E4480" s="15">
        <f>3.894+5.46-0.244-0.104-0.107-0.678+0.53-0.17-0.148-0.054-0.084-0.283</f>
        <v>8.0120000000000005</v>
      </c>
    </row>
    <row r="4481" spans="1:5" x14ac:dyDescent="0.3">
      <c r="A4481" s="10">
        <v>356</v>
      </c>
      <c r="B4481" s="10">
        <v>32</v>
      </c>
      <c r="C4481" s="10" t="s">
        <v>28</v>
      </c>
      <c r="D4481" s="10" t="s">
        <v>1</v>
      </c>
      <c r="E4481" s="15">
        <f>2.646+1.49+2.64+10.03</f>
        <v>16.805999999999997</v>
      </c>
    </row>
    <row r="4482" spans="1:5" x14ac:dyDescent="0.3">
      <c r="A4482" s="8">
        <v>356</v>
      </c>
      <c r="B4482" s="8">
        <v>36</v>
      </c>
      <c r="C4482" s="8" t="s">
        <v>26</v>
      </c>
      <c r="D4482" s="8" t="s">
        <v>1</v>
      </c>
      <c r="E4482" s="9">
        <f>5.664-0.869-0.581-1.575-0.325-0.297-0.579-1.493+0.186</f>
        <v>0.13099999999999984</v>
      </c>
    </row>
    <row r="4483" spans="1:5" x14ac:dyDescent="0.3">
      <c r="A4483" s="10">
        <v>356</v>
      </c>
      <c r="B4483" s="10">
        <v>40</v>
      </c>
      <c r="C4483" s="10" t="s">
        <v>28</v>
      </c>
      <c r="D4483" s="10" t="s">
        <v>1</v>
      </c>
      <c r="E4483" s="15">
        <v>8.1999999999999993</v>
      </c>
    </row>
    <row r="4484" spans="1:5" x14ac:dyDescent="0.3">
      <c r="A4484" s="8">
        <v>356</v>
      </c>
      <c r="B4484" s="8">
        <v>45</v>
      </c>
      <c r="C4484" s="8" t="s">
        <v>26</v>
      </c>
      <c r="D4484" s="8" t="s">
        <v>1</v>
      </c>
      <c r="E4484" s="9">
        <f>5.48-0.368-1.662+1.065-1.693-0.351-0.358-0.708-0.358</f>
        <v>1.0470000000000006</v>
      </c>
    </row>
    <row r="4485" spans="1:5" x14ac:dyDescent="0.3">
      <c r="A4485" s="10">
        <v>356</v>
      </c>
      <c r="B4485" s="10">
        <v>50</v>
      </c>
      <c r="C4485" s="10" t="s">
        <v>28</v>
      </c>
      <c r="D4485" s="10" t="s">
        <v>1</v>
      </c>
      <c r="E4485" s="15">
        <f>2.73+2.732-2.777</f>
        <v>2.6849999999999996</v>
      </c>
    </row>
    <row r="4486" spans="1:5" x14ac:dyDescent="0.3">
      <c r="A4486" s="10">
        <v>356</v>
      </c>
      <c r="B4486" s="10">
        <v>60</v>
      </c>
      <c r="C4486" s="10" t="s">
        <v>26</v>
      </c>
      <c r="D4486" s="10" t="s">
        <v>1</v>
      </c>
      <c r="E4486" s="15">
        <v>6.6550000000000002</v>
      </c>
    </row>
    <row r="4487" spans="1:5" x14ac:dyDescent="0.3">
      <c r="A4487" s="8">
        <v>356</v>
      </c>
      <c r="B4487" s="8">
        <v>60</v>
      </c>
      <c r="C4487" s="8">
        <v>45</v>
      </c>
      <c r="D4487" s="8" t="s">
        <v>20</v>
      </c>
      <c r="E4487" s="9">
        <f>3.005-0.303-0.365</f>
        <v>2.3369999999999997</v>
      </c>
    </row>
    <row r="4488" spans="1:5" x14ac:dyDescent="0.3">
      <c r="A4488" s="8">
        <v>356</v>
      </c>
      <c r="B4488" s="8">
        <v>75</v>
      </c>
      <c r="C4488" s="8" t="s">
        <v>28</v>
      </c>
      <c r="D4488" s="8" t="s">
        <v>1</v>
      </c>
      <c r="E4488" s="9">
        <v>16.28</v>
      </c>
    </row>
    <row r="4489" spans="1:5" x14ac:dyDescent="0.3">
      <c r="A4489" s="8">
        <v>356</v>
      </c>
      <c r="B4489" s="8">
        <v>80</v>
      </c>
      <c r="C4489" s="8">
        <v>20</v>
      </c>
      <c r="D4489" s="8" t="s">
        <v>44</v>
      </c>
      <c r="E4489" s="9">
        <f>20.343+4.068+2.85-0.414-1.198-2.511-6.236-0.569</f>
        <v>16.333000000000002</v>
      </c>
    </row>
    <row r="4490" spans="1:5" x14ac:dyDescent="0.3">
      <c r="A4490" s="10">
        <v>377</v>
      </c>
      <c r="B4490" s="10">
        <v>6</v>
      </c>
      <c r="C4490" s="10">
        <v>20</v>
      </c>
      <c r="D4490" s="10" t="s">
        <v>7</v>
      </c>
      <c r="E4490" s="15">
        <f>0.538+0.95-0.21-0.103-0.05-0.288-0.034-0.076-0.032-0.057-0.072-0.031-0.171-0.196-0.087-0.097+0.04</f>
        <v>2.3999999999999876E-2</v>
      </c>
    </row>
    <row r="4491" spans="1:5" x14ac:dyDescent="0.3">
      <c r="A4491" s="10">
        <v>377</v>
      </c>
      <c r="B4491" s="10">
        <v>6</v>
      </c>
      <c r="C4491" s="10" t="s">
        <v>26</v>
      </c>
      <c r="D4491" s="10" t="s">
        <v>7</v>
      </c>
      <c r="E4491" s="15">
        <f>0.329-0.171-0.093-0.014</f>
        <v>5.1000000000000004E-2</v>
      </c>
    </row>
    <row r="4492" spans="1:5" x14ac:dyDescent="0.3">
      <c r="A4492" s="10">
        <v>377</v>
      </c>
      <c r="B4492" s="10">
        <v>7</v>
      </c>
      <c r="C4492" s="10">
        <v>20</v>
      </c>
      <c r="D4492" s="10" t="s">
        <v>7</v>
      </c>
      <c r="E4492" s="15">
        <f>0.785-0.393-0.03+0.485-0.133-0.493-0.081-0.072-0.036+0.495+1.692+1.884-0.069</f>
        <v>4.0339999999999998</v>
      </c>
    </row>
    <row r="4493" spans="1:5" x14ac:dyDescent="0.3">
      <c r="A4493" s="10">
        <v>377</v>
      </c>
      <c r="B4493" s="10">
        <v>7</v>
      </c>
      <c r="C4493" s="10" t="s">
        <v>26</v>
      </c>
      <c r="D4493" s="10" t="s">
        <v>7</v>
      </c>
      <c r="E4493" s="15">
        <f>1.507-0.099-0.134-0.068-0.081-0.068-0.261-0.525+1.229-0.198-0.195</f>
        <v>1.107</v>
      </c>
    </row>
    <row r="4494" spans="1:5" x14ac:dyDescent="0.3">
      <c r="A4494" s="10">
        <v>377</v>
      </c>
      <c r="B4494" s="10">
        <v>7</v>
      </c>
      <c r="C4494" s="10" t="s">
        <v>201</v>
      </c>
      <c r="D4494" s="10" t="s">
        <v>7</v>
      </c>
      <c r="E4494" s="15">
        <v>0.97399999999999998</v>
      </c>
    </row>
    <row r="4495" spans="1:5" x14ac:dyDescent="0.3">
      <c r="A4495" s="10">
        <v>377</v>
      </c>
      <c r="B4495" s="10">
        <v>7</v>
      </c>
      <c r="C4495" s="10" t="s">
        <v>52</v>
      </c>
      <c r="D4495" s="10" t="s">
        <v>7</v>
      </c>
      <c r="E4495" s="15">
        <v>0.73499999999999999</v>
      </c>
    </row>
    <row r="4496" spans="1:5" x14ac:dyDescent="0.3">
      <c r="A4496" s="10">
        <v>377</v>
      </c>
      <c r="B4496" s="10">
        <v>7</v>
      </c>
      <c r="C4496" s="10" t="s">
        <v>111</v>
      </c>
      <c r="D4496" s="10" t="s">
        <v>181</v>
      </c>
      <c r="E4496" s="15">
        <v>1.5369999999999999</v>
      </c>
    </row>
    <row r="4497" spans="1:5" x14ac:dyDescent="0.3">
      <c r="A4497" s="10">
        <v>377</v>
      </c>
      <c r="B4497" s="10">
        <v>8</v>
      </c>
      <c r="C4497" s="8">
        <v>20</v>
      </c>
      <c r="D4497" s="8" t="s">
        <v>7</v>
      </c>
      <c r="E4497" s="15">
        <f>0.43+0.168+1.514-0.496-0.115-0.02-0.317-0.049-0.063-0.256+0.648-0.225-0.563-0.186-0.115-0.286-0.075+0.048+0.491</f>
        <v>0.53300000000000036</v>
      </c>
    </row>
    <row r="4498" spans="1:5" x14ac:dyDescent="0.3">
      <c r="A4498" s="8">
        <v>377</v>
      </c>
      <c r="B4498" s="8">
        <v>8</v>
      </c>
      <c r="C4498" s="8" t="s">
        <v>26</v>
      </c>
      <c r="D4498" s="8" t="s">
        <v>7</v>
      </c>
      <c r="E4498" s="15">
        <f>0.874-0.115-0.339-0.226+1.037</f>
        <v>1.2309999999999999</v>
      </c>
    </row>
    <row r="4499" spans="1:5" x14ac:dyDescent="0.3">
      <c r="A4499" s="10">
        <v>377</v>
      </c>
      <c r="B4499" s="10">
        <v>8</v>
      </c>
      <c r="C4499" s="10" t="s">
        <v>52</v>
      </c>
      <c r="D4499" s="10" t="s">
        <v>7</v>
      </c>
      <c r="E4499" s="15">
        <v>1.653</v>
      </c>
    </row>
    <row r="4500" spans="1:5" x14ac:dyDescent="0.3">
      <c r="A4500" s="10">
        <v>377</v>
      </c>
      <c r="B4500" s="10">
        <v>8</v>
      </c>
      <c r="C4500" s="10" t="s">
        <v>111</v>
      </c>
      <c r="D4500" s="10" t="s">
        <v>182</v>
      </c>
      <c r="E4500" s="15">
        <f>0.876+0.876+0.781</f>
        <v>2.5329999999999999</v>
      </c>
    </row>
    <row r="4501" spans="1:5" x14ac:dyDescent="0.3">
      <c r="A4501" s="10">
        <v>377</v>
      </c>
      <c r="B4501" s="10">
        <v>9</v>
      </c>
      <c r="C4501" s="10">
        <v>20</v>
      </c>
      <c r="D4501" s="10" t="s">
        <v>1</v>
      </c>
      <c r="E4501" s="15">
        <f>1.775+0.051+0.026+0.193-0.045-0.03-0.571-0.088-0.199-0.078-0.044-0.258-0.131-0.266-0.342+0.014</f>
        <v>6.9999999999997165E-3</v>
      </c>
    </row>
    <row r="4502" spans="1:5" x14ac:dyDescent="0.3">
      <c r="A4502" s="10">
        <v>377</v>
      </c>
      <c r="B4502" s="10">
        <v>9</v>
      </c>
      <c r="C4502" s="10">
        <v>20</v>
      </c>
      <c r="D4502" s="10" t="s">
        <v>32</v>
      </c>
      <c r="E4502" s="15">
        <v>0.94099999999999995</v>
      </c>
    </row>
    <row r="4503" spans="1:5" x14ac:dyDescent="0.3">
      <c r="A4503" s="10">
        <v>377</v>
      </c>
      <c r="B4503" s="10">
        <v>9</v>
      </c>
      <c r="C4503" s="10" t="s">
        <v>26</v>
      </c>
      <c r="D4503" s="10" t="s">
        <v>7</v>
      </c>
      <c r="E4503" s="15">
        <f>1.634-0.128-0.128-0.351-0.222-0.337+0.511</f>
        <v>0.97899999999999965</v>
      </c>
    </row>
    <row r="4504" spans="1:5" x14ac:dyDescent="0.3">
      <c r="A4504" s="10">
        <v>377</v>
      </c>
      <c r="B4504" s="10">
        <v>9</v>
      </c>
      <c r="C4504" s="10" t="s">
        <v>26</v>
      </c>
      <c r="D4504" s="10" t="s">
        <v>64</v>
      </c>
      <c r="E4504" s="15">
        <f>4.694-0.57+0.924-0.171-0.191-0.097-0.038-0.942-0.34-0.045-0.063-0.996-0.339</f>
        <v>1.8259999999999992</v>
      </c>
    </row>
    <row r="4505" spans="1:5" x14ac:dyDescent="0.3">
      <c r="A4505" s="10">
        <v>377</v>
      </c>
      <c r="B4505" s="10">
        <v>9</v>
      </c>
      <c r="C4505" s="10" t="s">
        <v>26</v>
      </c>
      <c r="D4505" s="10" t="s">
        <v>1</v>
      </c>
      <c r="E4505" s="15">
        <f>1.672+1.034+0.538+0.58+0.496</f>
        <v>4.32</v>
      </c>
    </row>
    <row r="4506" spans="1:5" x14ac:dyDescent="0.3">
      <c r="A4506" s="10">
        <v>377</v>
      </c>
      <c r="B4506" s="10">
        <v>9</v>
      </c>
      <c r="C4506" s="8" t="s">
        <v>48</v>
      </c>
      <c r="D4506" s="8" t="s">
        <v>7</v>
      </c>
      <c r="E4506" s="15">
        <f>1.699-0.095</f>
        <v>1.6040000000000001</v>
      </c>
    </row>
    <row r="4507" spans="1:5" x14ac:dyDescent="0.3">
      <c r="A4507" s="10">
        <v>377</v>
      </c>
      <c r="B4507" s="10">
        <v>9</v>
      </c>
      <c r="C4507" s="10" t="s">
        <v>37</v>
      </c>
      <c r="D4507" s="10" t="s">
        <v>1</v>
      </c>
      <c r="E4507" s="15">
        <f>5.182-0.178</f>
        <v>5.0040000000000004</v>
      </c>
    </row>
    <row r="4508" spans="1:5" x14ac:dyDescent="0.3">
      <c r="A4508" s="8">
        <v>377</v>
      </c>
      <c r="B4508" s="8">
        <v>10</v>
      </c>
      <c r="C4508" s="8">
        <v>20</v>
      </c>
      <c r="D4508" s="8" t="s">
        <v>7</v>
      </c>
      <c r="E4508" s="15">
        <f>1.086+0.701</f>
        <v>1.7869999999999999</v>
      </c>
    </row>
    <row r="4509" spans="1:5" x14ac:dyDescent="0.3">
      <c r="A4509" s="10">
        <v>377</v>
      </c>
      <c r="B4509" s="10">
        <v>10</v>
      </c>
      <c r="C4509" s="10" t="s">
        <v>111</v>
      </c>
      <c r="D4509" s="10" t="s">
        <v>7</v>
      </c>
      <c r="E4509" s="15">
        <v>0.54300000000000004</v>
      </c>
    </row>
    <row r="4510" spans="1:5" x14ac:dyDescent="0.3">
      <c r="A4510" s="10">
        <v>377</v>
      </c>
      <c r="B4510" s="10">
        <v>10</v>
      </c>
      <c r="C4510" s="10">
        <v>20</v>
      </c>
      <c r="D4510" s="10" t="s">
        <v>1</v>
      </c>
      <c r="E4510" s="15">
        <f>6.705-0.191-0.145-0.187-0.398-3.66-0.063+2.585-0.2-0.098-0.14-0.283-0.104-0.049-0.144-0.167-0.14-0.283-0.269-0.75-0.215-0.345</f>
        <v>1.459000000000001</v>
      </c>
    </row>
    <row r="4511" spans="1:5" x14ac:dyDescent="0.3">
      <c r="A4511" s="10">
        <v>377</v>
      </c>
      <c r="B4511" s="10">
        <v>10</v>
      </c>
      <c r="C4511" s="10">
        <v>20</v>
      </c>
      <c r="D4511" s="10" t="s">
        <v>8</v>
      </c>
      <c r="E4511" s="15">
        <v>0.437</v>
      </c>
    </row>
    <row r="4512" spans="1:5" x14ac:dyDescent="0.3">
      <c r="A4512" s="10">
        <v>377</v>
      </c>
      <c r="B4512" s="10">
        <v>10</v>
      </c>
      <c r="C4512" s="10" t="s">
        <v>26</v>
      </c>
      <c r="D4512" s="10" t="s">
        <v>7</v>
      </c>
      <c r="E4512" s="15">
        <f>4.337-0.196-0.381-1.104+0.489+0.381-0.804-1.561+1.294-0.17-0.423+0.896-0.427-0.207-0.032-0.064+1.81-0.106-0.498</f>
        <v>3.234</v>
      </c>
    </row>
    <row r="4513" spans="1:5" x14ac:dyDescent="0.3">
      <c r="A4513" s="10">
        <v>377</v>
      </c>
      <c r="B4513" s="10">
        <v>10</v>
      </c>
      <c r="C4513" s="10" t="s">
        <v>26</v>
      </c>
      <c r="D4513" s="10" t="s">
        <v>7</v>
      </c>
      <c r="E4513" s="15">
        <f>0.804-0.102-0.095</f>
        <v>0.6070000000000001</v>
      </c>
    </row>
    <row r="4514" spans="1:5" x14ac:dyDescent="0.3">
      <c r="A4514" s="10">
        <v>377</v>
      </c>
      <c r="B4514" s="10">
        <v>10</v>
      </c>
      <c r="C4514" s="10" t="s">
        <v>26</v>
      </c>
      <c r="D4514" s="10" t="s">
        <v>1</v>
      </c>
      <c r="E4514" s="15">
        <f>0.86-0.095-0.149-0.138-0.196-0.095-0.028-0.098-0.062+0.004</f>
        <v>2.9999999999999714E-3</v>
      </c>
    </row>
    <row r="4515" spans="1:5" x14ac:dyDescent="0.3">
      <c r="A4515" s="10">
        <v>377</v>
      </c>
      <c r="B4515" s="10">
        <v>10</v>
      </c>
      <c r="C4515" s="10" t="s">
        <v>26</v>
      </c>
      <c r="D4515" s="10" t="s">
        <v>1</v>
      </c>
      <c r="E4515" s="15">
        <f>0.712-0.065-0.065+0.613+0.757-0.027-0.058+1.043-0.35-0.107-0.041-0.107-0.141-0.161-0.108+2.868-0.317-1.043-0.092-0.576-0.044-0.212-0.112-0.473-0.261-0.078-0.213</f>
        <v>1.341999999999999</v>
      </c>
    </row>
    <row r="4516" spans="1:5" x14ac:dyDescent="0.3">
      <c r="A4516" s="10">
        <v>377</v>
      </c>
      <c r="B4516" s="10">
        <v>11</v>
      </c>
      <c r="C4516" s="10">
        <v>20</v>
      </c>
      <c r="D4516" s="10" t="s">
        <v>7</v>
      </c>
      <c r="E4516" s="15">
        <v>0.69499999999999995</v>
      </c>
    </row>
    <row r="4517" spans="1:5" x14ac:dyDescent="0.3">
      <c r="A4517" s="8">
        <v>377</v>
      </c>
      <c r="B4517" s="8">
        <v>11</v>
      </c>
      <c r="C4517" s="8">
        <v>20</v>
      </c>
      <c r="D4517" s="8" t="s">
        <v>1</v>
      </c>
      <c r="E4517" s="9">
        <f>1.04+1.156+0.644+1.414+1.02-0.065</f>
        <v>5.2089999999999987</v>
      </c>
    </row>
    <row r="4518" spans="1:5" x14ac:dyDescent="0.3">
      <c r="A4518" s="10">
        <v>377</v>
      </c>
      <c r="B4518" s="10">
        <v>11</v>
      </c>
      <c r="C4518" s="10" t="s">
        <v>26</v>
      </c>
      <c r="D4518" s="10" t="s">
        <v>7</v>
      </c>
      <c r="E4518" s="15">
        <v>1.1910000000000001</v>
      </c>
    </row>
    <row r="4519" spans="1:5" x14ac:dyDescent="0.3">
      <c r="A4519" s="10">
        <v>377</v>
      </c>
      <c r="B4519" s="10">
        <v>11</v>
      </c>
      <c r="C4519" s="10" t="s">
        <v>26</v>
      </c>
      <c r="D4519" s="10" t="s">
        <v>1</v>
      </c>
      <c r="E4519" s="15">
        <f>8.364+10.374-1.765-0.243-0.16-0.066-0.108-0.451-0.314-3.136-0.026-0.925-3.227-0.107-1.067</f>
        <v>7.1430000000000007</v>
      </c>
    </row>
    <row r="4520" spans="1:5" x14ac:dyDescent="0.3">
      <c r="A4520" s="10">
        <v>377</v>
      </c>
      <c r="B4520" s="10">
        <v>11</v>
      </c>
      <c r="C4520" s="10" t="s">
        <v>26</v>
      </c>
      <c r="D4520" s="10" t="s">
        <v>1</v>
      </c>
      <c r="E4520" s="15">
        <f>0.925+3.227+2.096-2.096+1.067</f>
        <v>5.2190000000000003</v>
      </c>
    </row>
    <row r="4521" spans="1:5" x14ac:dyDescent="0.3">
      <c r="A4521" s="8">
        <v>377</v>
      </c>
      <c r="B4521" s="8">
        <v>11</v>
      </c>
      <c r="C4521" s="8" t="s">
        <v>26</v>
      </c>
      <c r="D4521" s="8" t="s">
        <v>1</v>
      </c>
      <c r="E4521" s="9">
        <v>0.86199999999999999</v>
      </c>
    </row>
    <row r="4522" spans="1:5" x14ac:dyDescent="0.3">
      <c r="A4522" s="8">
        <v>377</v>
      </c>
      <c r="B4522" s="12">
        <v>11</v>
      </c>
      <c r="C4522" s="8" t="s">
        <v>30</v>
      </c>
      <c r="D4522" s="8" t="s">
        <v>1</v>
      </c>
      <c r="E4522" s="9">
        <f>1.04-0.277</f>
        <v>0.76300000000000001</v>
      </c>
    </row>
    <row r="4523" spans="1:5" x14ac:dyDescent="0.3">
      <c r="A4523" s="10">
        <v>377</v>
      </c>
      <c r="B4523" s="10">
        <v>12</v>
      </c>
      <c r="C4523" s="10">
        <v>20</v>
      </c>
      <c r="D4523" s="10" t="s">
        <v>7</v>
      </c>
      <c r="E4523" s="15">
        <f>1.253-0.1-0.047-0.333-0.113-0.142</f>
        <v>0.5179999999999999</v>
      </c>
    </row>
    <row r="4524" spans="1:5" x14ac:dyDescent="0.3">
      <c r="A4524" s="8">
        <v>377</v>
      </c>
      <c r="B4524" s="8">
        <v>12</v>
      </c>
      <c r="C4524" s="8">
        <v>20</v>
      </c>
      <c r="D4524" s="8" t="s">
        <v>32</v>
      </c>
      <c r="E4524" s="9">
        <f>1.612+1.253+1.22+1.245</f>
        <v>5.33</v>
      </c>
    </row>
    <row r="4525" spans="1:5" x14ac:dyDescent="0.3">
      <c r="A4525" s="10">
        <v>377</v>
      </c>
      <c r="B4525" s="10">
        <v>12</v>
      </c>
      <c r="C4525" s="10" t="s">
        <v>26</v>
      </c>
      <c r="D4525" s="10" t="s">
        <v>7</v>
      </c>
      <c r="E4525" s="15">
        <v>2.3769999999999998</v>
      </c>
    </row>
    <row r="4526" spans="1:5" x14ac:dyDescent="0.3">
      <c r="A4526" s="10">
        <v>377</v>
      </c>
      <c r="B4526" s="10">
        <v>12</v>
      </c>
      <c r="C4526" s="10" t="s">
        <v>26</v>
      </c>
      <c r="D4526" s="10" t="s">
        <v>1</v>
      </c>
      <c r="E4526" s="15">
        <f>8.615-0.272-0.231-0.255-0.285+3.88-1.067-0.458-0.366-0.242-0.363-0.341-0.394-0.176-0.062-0.289-0.229-0.412-0.062-0.06-0.051</f>
        <v>6.88</v>
      </c>
    </row>
    <row r="4527" spans="1:5" x14ac:dyDescent="0.3">
      <c r="A4527" s="10">
        <v>377</v>
      </c>
      <c r="B4527" s="10">
        <v>12</v>
      </c>
      <c r="C4527" s="10" t="s">
        <v>123</v>
      </c>
      <c r="D4527" s="10" t="s">
        <v>1</v>
      </c>
      <c r="E4527" s="15">
        <v>4.1900000000000004</v>
      </c>
    </row>
    <row r="4528" spans="1:5" x14ac:dyDescent="0.3">
      <c r="A4528" s="8">
        <v>377</v>
      </c>
      <c r="B4528" s="8">
        <v>12</v>
      </c>
      <c r="C4528" s="8" t="s">
        <v>29</v>
      </c>
      <c r="D4528" s="8" t="s">
        <v>3</v>
      </c>
      <c r="E4528" s="9">
        <f>2.26+2.592+0.482+0.55+0.492-2.329-0.068-1.07</f>
        <v>2.9090000000000007</v>
      </c>
    </row>
    <row r="4529" spans="1:5" x14ac:dyDescent="0.3">
      <c r="A4529" s="8">
        <v>377</v>
      </c>
      <c r="B4529" s="8">
        <v>13</v>
      </c>
      <c r="C4529" s="8">
        <v>20</v>
      </c>
      <c r="D4529" s="8" t="s">
        <v>32</v>
      </c>
      <c r="E4529" s="9">
        <f>1.403-0.084+7.822-0.2</f>
        <v>8.9410000000000007</v>
      </c>
    </row>
    <row r="4530" spans="1:5" x14ac:dyDescent="0.3">
      <c r="A4530" s="8">
        <v>377</v>
      </c>
      <c r="B4530" s="8">
        <v>13</v>
      </c>
      <c r="C4530" s="8" t="s">
        <v>31</v>
      </c>
      <c r="D4530" s="8" t="s">
        <v>32</v>
      </c>
      <c r="E4530" s="9">
        <f>0.98+6.964-1.318</f>
        <v>6.6260000000000012</v>
      </c>
    </row>
    <row r="4531" spans="1:5" x14ac:dyDescent="0.3">
      <c r="A4531" s="8">
        <v>377</v>
      </c>
      <c r="B4531" s="8">
        <v>14</v>
      </c>
      <c r="C4531" s="8">
        <v>20</v>
      </c>
      <c r="D4531" s="8" t="s">
        <v>1</v>
      </c>
      <c r="E4531" s="9">
        <v>5</v>
      </c>
    </row>
    <row r="4532" spans="1:5" x14ac:dyDescent="0.3">
      <c r="A4532" s="8">
        <v>377</v>
      </c>
      <c r="B4532" s="8">
        <v>14</v>
      </c>
      <c r="C4532" s="8" t="s">
        <v>26</v>
      </c>
      <c r="D4532" s="8" t="s">
        <v>64</v>
      </c>
      <c r="E4532" s="9">
        <v>10</v>
      </c>
    </row>
    <row r="4533" spans="1:5" x14ac:dyDescent="0.3">
      <c r="A4533" s="10">
        <v>377</v>
      </c>
      <c r="B4533" s="10">
        <v>14</v>
      </c>
      <c r="C4533" s="10" t="s">
        <v>87</v>
      </c>
      <c r="D4533" s="10" t="s">
        <v>90</v>
      </c>
      <c r="E4533" s="15">
        <f>3.048-0.387</f>
        <v>2.661</v>
      </c>
    </row>
    <row r="4534" spans="1:5" x14ac:dyDescent="0.3">
      <c r="A4534" s="8">
        <v>377</v>
      </c>
      <c r="B4534" s="8">
        <v>14</v>
      </c>
      <c r="C4534" s="8" t="s">
        <v>29</v>
      </c>
      <c r="D4534" s="8" t="s">
        <v>3</v>
      </c>
      <c r="E4534" s="9">
        <f>1.065+2.011+0.532</f>
        <v>3.6080000000000001</v>
      </c>
    </row>
    <row r="4535" spans="1:5" x14ac:dyDescent="0.3">
      <c r="A4535" s="8">
        <v>377</v>
      </c>
      <c r="B4535" s="8">
        <v>15</v>
      </c>
      <c r="C4535" s="8" t="s">
        <v>31</v>
      </c>
      <c r="D4535" s="8" t="s">
        <v>32</v>
      </c>
      <c r="E4535" s="9">
        <f>1.316+0.614-0.701-0.197+1.205</f>
        <v>2.2370000000000001</v>
      </c>
    </row>
    <row r="4536" spans="1:5" x14ac:dyDescent="0.3">
      <c r="A4536" s="10">
        <v>377</v>
      </c>
      <c r="B4536" s="10">
        <v>16</v>
      </c>
      <c r="C4536" s="10">
        <v>20</v>
      </c>
      <c r="D4536" s="10" t="s">
        <v>1</v>
      </c>
      <c r="E4536" s="15">
        <f>5.257+5.198-0.147-0.555-0.364-0.439-0.364-0.222-0.074-0.209-0.15-0.149-0.149-0.292-0.177-0.101-0.295-0.967-0.058-0.078-0.048-0.58-0.038-0.093-0.042-0.098-0.199-0.093-0.077-0.151-0.151</f>
        <v>4.0950000000000006</v>
      </c>
    </row>
    <row r="4537" spans="1:5" x14ac:dyDescent="0.3">
      <c r="A4537" s="8">
        <v>377</v>
      </c>
      <c r="B4537" s="8">
        <v>16</v>
      </c>
      <c r="C4537" s="8">
        <v>20</v>
      </c>
      <c r="D4537" s="8" t="s">
        <v>32</v>
      </c>
      <c r="E4537" s="9">
        <f>0.967+0.964+0.707</f>
        <v>2.6379999999999999</v>
      </c>
    </row>
    <row r="4538" spans="1:5" x14ac:dyDescent="0.3">
      <c r="A4538" s="10">
        <v>377</v>
      </c>
      <c r="B4538" s="10">
        <v>16</v>
      </c>
      <c r="C4538" s="10" t="s">
        <v>26</v>
      </c>
      <c r="D4538" s="10" t="s">
        <v>7</v>
      </c>
      <c r="E4538" s="15">
        <f>4.476-2.84-0.583-0.232-0.79+1.709+1.607-0.074-0.114-0.114-0.058-0.398</f>
        <v>2.5890000000000009</v>
      </c>
    </row>
    <row r="4539" spans="1:5" x14ac:dyDescent="0.3">
      <c r="A4539" s="10">
        <v>377</v>
      </c>
      <c r="B4539" s="10">
        <v>16</v>
      </c>
      <c r="C4539" s="10" t="s">
        <v>26</v>
      </c>
      <c r="D4539" s="10" t="s">
        <v>1</v>
      </c>
      <c r="E4539" s="15">
        <f>3.024-0.15-0.32-0.115-0.076-0.15-0.147-0.147-0.176-0.173-0.296-0.276-0.293-0.678</f>
        <v>2.7000000000000246E-2</v>
      </c>
    </row>
    <row r="4540" spans="1:5" x14ac:dyDescent="0.3">
      <c r="A4540" s="8">
        <v>377</v>
      </c>
      <c r="B4540" s="8">
        <v>16</v>
      </c>
      <c r="C4540" s="8" t="s">
        <v>26</v>
      </c>
      <c r="D4540" s="8" t="s">
        <v>64</v>
      </c>
      <c r="E4540" s="9">
        <v>5</v>
      </c>
    </row>
    <row r="4541" spans="1:5" x14ac:dyDescent="0.3">
      <c r="A4541" s="10">
        <v>377</v>
      </c>
      <c r="B4541" s="10">
        <v>16</v>
      </c>
      <c r="C4541" s="10">
        <v>35</v>
      </c>
      <c r="D4541" s="10" t="s">
        <v>1</v>
      </c>
      <c r="E4541" s="15">
        <f>4.27+1.473-2.953-1.427+1.266+4.082-0.158-2.781</f>
        <v>3.7719999999999989</v>
      </c>
    </row>
    <row r="4542" spans="1:5" x14ac:dyDescent="0.3">
      <c r="A4542" s="8">
        <v>377</v>
      </c>
      <c r="B4542" s="8">
        <v>16</v>
      </c>
      <c r="C4542" s="8" t="s">
        <v>31</v>
      </c>
      <c r="D4542" s="8" t="s">
        <v>32</v>
      </c>
      <c r="E4542" s="9">
        <f>1.148+4.095</f>
        <v>5.2429999999999994</v>
      </c>
    </row>
    <row r="4543" spans="1:5" x14ac:dyDescent="0.3">
      <c r="A4543" s="8">
        <v>377</v>
      </c>
      <c r="B4543" s="8">
        <v>16</v>
      </c>
      <c r="C4543" s="8" t="s">
        <v>29</v>
      </c>
      <c r="D4543" s="8" t="s">
        <v>3</v>
      </c>
      <c r="E4543" s="9">
        <f>2.484+1.395-1.008-0.378</f>
        <v>2.4929999999999999</v>
      </c>
    </row>
    <row r="4544" spans="1:5" x14ac:dyDescent="0.3">
      <c r="A4544" s="8">
        <v>377</v>
      </c>
      <c r="B4544" s="8">
        <v>17</v>
      </c>
      <c r="C4544" s="8">
        <v>20</v>
      </c>
      <c r="D4544" s="8" t="s">
        <v>32</v>
      </c>
      <c r="E4544" s="9">
        <f>0.926+0.621</f>
        <v>1.5470000000000002</v>
      </c>
    </row>
    <row r="4545" spans="1:5" x14ac:dyDescent="0.3">
      <c r="A4545" s="8">
        <v>377</v>
      </c>
      <c r="B4545" s="8">
        <v>17</v>
      </c>
      <c r="C4545" s="8">
        <v>20</v>
      </c>
      <c r="D4545" s="8" t="s">
        <v>32</v>
      </c>
      <c r="E4545" s="9">
        <v>0.78700000000000003</v>
      </c>
    </row>
    <row r="4546" spans="1:5" x14ac:dyDescent="0.3">
      <c r="A4546" s="10">
        <v>377</v>
      </c>
      <c r="B4546" s="10">
        <v>17</v>
      </c>
      <c r="C4546" s="10" t="s">
        <v>31</v>
      </c>
      <c r="D4546" s="10" t="s">
        <v>32</v>
      </c>
      <c r="E4546" s="15">
        <f>1.885+1.22+1.145-1.86+2.785-1.146+3.49-0.03-0.092</f>
        <v>7.3970000000000002</v>
      </c>
    </row>
    <row r="4547" spans="1:5" x14ac:dyDescent="0.3">
      <c r="A4547" s="10">
        <v>377</v>
      </c>
      <c r="B4547" s="10">
        <v>18</v>
      </c>
      <c r="C4547" s="10">
        <v>20</v>
      </c>
      <c r="D4547" s="10" t="s">
        <v>1</v>
      </c>
      <c r="E4547" s="15">
        <f>0.842+0.978+0.95+1.098-2.77+1.15</f>
        <v>2.2479999999999993</v>
      </c>
    </row>
    <row r="4548" spans="1:5" x14ac:dyDescent="0.3">
      <c r="A4548" s="10">
        <v>377</v>
      </c>
      <c r="B4548" s="10">
        <v>18</v>
      </c>
      <c r="C4548" s="10">
        <v>20</v>
      </c>
      <c r="D4548" s="10" t="s">
        <v>1</v>
      </c>
      <c r="E4548" s="15">
        <f>0.842+0.978+0.95</f>
        <v>2.7699999999999996</v>
      </c>
    </row>
    <row r="4549" spans="1:5" x14ac:dyDescent="0.3">
      <c r="A4549" s="10">
        <v>377</v>
      </c>
      <c r="B4549" s="10">
        <v>18</v>
      </c>
      <c r="C4549" s="8">
        <v>20</v>
      </c>
      <c r="D4549" s="8" t="s">
        <v>32</v>
      </c>
      <c r="E4549" s="9">
        <f>12.074-7.439-0.02-0.448+0.123-1.585+0.764</f>
        <v>3.4690000000000003</v>
      </c>
    </row>
    <row r="4550" spans="1:5" x14ac:dyDescent="0.3">
      <c r="A4550" s="8">
        <v>377</v>
      </c>
      <c r="B4550" s="8">
        <v>18</v>
      </c>
      <c r="C4550" s="8">
        <v>20</v>
      </c>
      <c r="D4550" s="8" t="s">
        <v>32</v>
      </c>
      <c r="E4550" s="9">
        <v>0.70599999999999996</v>
      </c>
    </row>
    <row r="4551" spans="1:5" x14ac:dyDescent="0.3">
      <c r="A4551" s="8">
        <v>377</v>
      </c>
      <c r="B4551" s="8">
        <v>18</v>
      </c>
      <c r="C4551" s="8" t="s">
        <v>26</v>
      </c>
      <c r="D4551" s="8" t="s">
        <v>64</v>
      </c>
      <c r="E4551" s="9">
        <v>5</v>
      </c>
    </row>
    <row r="4552" spans="1:5" x14ac:dyDescent="0.3">
      <c r="A4552" s="10">
        <v>377</v>
      </c>
      <c r="B4552" s="10">
        <v>18</v>
      </c>
      <c r="C4552" s="10" t="s">
        <v>158</v>
      </c>
      <c r="D4552" s="10" t="s">
        <v>159</v>
      </c>
      <c r="E4552" s="15">
        <f>3.619-1.131-1.912-0.328</f>
        <v>0.2480000000000005</v>
      </c>
    </row>
    <row r="4553" spans="1:5" x14ac:dyDescent="0.3">
      <c r="A4553" s="10">
        <v>377</v>
      </c>
      <c r="B4553" s="10">
        <v>18</v>
      </c>
      <c r="C4553" s="10" t="s">
        <v>158</v>
      </c>
      <c r="D4553" s="10" t="s">
        <v>159</v>
      </c>
      <c r="E4553" s="15">
        <v>1.6870000000000001</v>
      </c>
    </row>
    <row r="4554" spans="1:5" x14ac:dyDescent="0.3">
      <c r="A4554" s="10">
        <v>377</v>
      </c>
      <c r="B4554" s="10">
        <v>18</v>
      </c>
      <c r="C4554" s="10" t="s">
        <v>37</v>
      </c>
      <c r="D4554" s="10" t="s">
        <v>7</v>
      </c>
      <c r="E4554" s="15">
        <v>1.641</v>
      </c>
    </row>
    <row r="4555" spans="1:5" x14ac:dyDescent="0.3">
      <c r="A4555" s="8">
        <v>377</v>
      </c>
      <c r="B4555" s="8">
        <v>18</v>
      </c>
      <c r="C4555" s="8" t="s">
        <v>31</v>
      </c>
      <c r="D4555" s="8" t="s">
        <v>32</v>
      </c>
      <c r="E4555" s="9">
        <v>3.585</v>
      </c>
    </row>
    <row r="4556" spans="1:5" x14ac:dyDescent="0.3">
      <c r="A4556" s="8">
        <v>377</v>
      </c>
      <c r="B4556" s="8">
        <v>19</v>
      </c>
      <c r="C4556" s="8">
        <v>20</v>
      </c>
      <c r="D4556" s="8" t="s">
        <v>32</v>
      </c>
      <c r="E4556" s="9">
        <f>1.408-0.101+0.084</f>
        <v>1.391</v>
      </c>
    </row>
    <row r="4557" spans="1:5" x14ac:dyDescent="0.3">
      <c r="A4557" s="8">
        <v>377</v>
      </c>
      <c r="B4557" s="8">
        <v>20</v>
      </c>
      <c r="C4557" s="8">
        <v>10</v>
      </c>
      <c r="D4557" s="8" t="s">
        <v>1</v>
      </c>
      <c r="E4557" s="9">
        <f>1.572-0.369-0.239-0.121-0.273-0.063</f>
        <v>0.50700000000000012</v>
      </c>
    </row>
    <row r="4558" spans="1:5" x14ac:dyDescent="0.3">
      <c r="A4558" s="8">
        <v>377</v>
      </c>
      <c r="B4558" s="8">
        <v>20</v>
      </c>
      <c r="C4558" s="8">
        <v>20</v>
      </c>
      <c r="D4558" s="8" t="s">
        <v>1</v>
      </c>
      <c r="E4558" s="9">
        <v>5</v>
      </c>
    </row>
    <row r="4559" spans="1:5" x14ac:dyDescent="0.3">
      <c r="A4559" s="8">
        <v>377</v>
      </c>
      <c r="B4559" s="8">
        <v>20</v>
      </c>
      <c r="C4559" s="8">
        <v>20</v>
      </c>
      <c r="D4559" s="8" t="s">
        <v>32</v>
      </c>
      <c r="E4559" s="9">
        <f>1.319+2.47+0.83-0.849-1.244</f>
        <v>2.5259999999999998</v>
      </c>
    </row>
    <row r="4560" spans="1:5" x14ac:dyDescent="0.3">
      <c r="A4560" s="8">
        <v>377</v>
      </c>
      <c r="B4560" s="8">
        <v>20</v>
      </c>
      <c r="C4560" s="8" t="s">
        <v>26</v>
      </c>
      <c r="D4560" s="8" t="s">
        <v>64</v>
      </c>
      <c r="E4560" s="9">
        <v>10</v>
      </c>
    </row>
    <row r="4561" spans="1:5" x14ac:dyDescent="0.3">
      <c r="A4561" s="8">
        <v>377</v>
      </c>
      <c r="B4561" s="8">
        <v>20</v>
      </c>
      <c r="C4561" s="8" t="s">
        <v>30</v>
      </c>
      <c r="D4561" s="8" t="s">
        <v>1</v>
      </c>
      <c r="E4561" s="9">
        <v>5</v>
      </c>
    </row>
    <row r="4562" spans="1:5" x14ac:dyDescent="0.3">
      <c r="A4562" s="8">
        <v>377</v>
      </c>
      <c r="B4562" s="8">
        <v>22</v>
      </c>
      <c r="C4562" s="8">
        <v>20</v>
      </c>
      <c r="D4562" s="8" t="s">
        <v>1</v>
      </c>
      <c r="E4562" s="9">
        <f>1.148-0.115-0.171-0.08</f>
        <v>0.78199999999999992</v>
      </c>
    </row>
    <row r="4563" spans="1:5" x14ac:dyDescent="0.3">
      <c r="A4563" s="8">
        <v>377</v>
      </c>
      <c r="B4563" s="8">
        <v>22</v>
      </c>
      <c r="C4563" s="8">
        <v>20</v>
      </c>
      <c r="D4563" s="8" t="s">
        <v>32</v>
      </c>
      <c r="E4563" s="9">
        <f>1.323+3.859+1.151</f>
        <v>6.3330000000000002</v>
      </c>
    </row>
    <row r="4564" spans="1:5" x14ac:dyDescent="0.3">
      <c r="A4564" s="8">
        <v>377</v>
      </c>
      <c r="B4564" s="8">
        <v>22</v>
      </c>
      <c r="C4564" s="8" t="s">
        <v>26</v>
      </c>
      <c r="D4564" s="8" t="s">
        <v>1</v>
      </c>
      <c r="E4564" s="9">
        <f>2.626+5.3-0.754-0.106+0.73-0.271-1.281-0.361-0.296-0.089-0.059-1.234-0.204-0.486</f>
        <v>3.5150000000000015</v>
      </c>
    </row>
    <row r="4565" spans="1:5" x14ac:dyDescent="0.3">
      <c r="A4565" s="10">
        <v>377</v>
      </c>
      <c r="B4565" s="10">
        <v>22</v>
      </c>
      <c r="C4565" s="10" t="s">
        <v>30</v>
      </c>
      <c r="D4565" s="13" t="s">
        <v>1</v>
      </c>
      <c r="E4565" s="15">
        <f>0.44+0.389-0.441+0.06-0.102</f>
        <v>0.34599999999999997</v>
      </c>
    </row>
    <row r="4566" spans="1:5" x14ac:dyDescent="0.3">
      <c r="A4566" s="8">
        <v>377</v>
      </c>
      <c r="B4566" s="8">
        <v>22</v>
      </c>
      <c r="C4566" s="8" t="s">
        <v>43</v>
      </c>
      <c r="D4566" s="8" t="s">
        <v>32</v>
      </c>
      <c r="E4566" s="9">
        <f>5.977-0.115-0.232-0.073</f>
        <v>5.5569999999999995</v>
      </c>
    </row>
    <row r="4567" spans="1:5" x14ac:dyDescent="0.3">
      <c r="A4567" s="8">
        <v>377</v>
      </c>
      <c r="B4567" s="8">
        <v>22</v>
      </c>
      <c r="C4567" s="8" t="s">
        <v>31</v>
      </c>
      <c r="D4567" s="8" t="s">
        <v>32</v>
      </c>
      <c r="E4567" s="9">
        <v>5</v>
      </c>
    </row>
    <row r="4568" spans="1:5" x14ac:dyDescent="0.3">
      <c r="A4568" s="8">
        <v>377</v>
      </c>
      <c r="B4568" s="8">
        <v>22</v>
      </c>
      <c r="C4568" s="8" t="s">
        <v>29</v>
      </c>
      <c r="D4568" s="8" t="s">
        <v>3</v>
      </c>
      <c r="E4568" s="9">
        <f>2.796+1.524</f>
        <v>4.32</v>
      </c>
    </row>
    <row r="4569" spans="1:5" x14ac:dyDescent="0.3">
      <c r="A4569" s="10">
        <v>377</v>
      </c>
      <c r="B4569" s="10">
        <v>25</v>
      </c>
      <c r="C4569" s="10">
        <v>20</v>
      </c>
      <c r="D4569" s="10" t="s">
        <v>1</v>
      </c>
      <c r="E4569" s="15">
        <f>2.61+7.885-0.118-0.051-0.589-0.443-0.658-0.334-0.65-1.099+0.01-0.338-0.301-0.844-0.203-0.387-0.385-0.138-0.12-0.438-0.123-0.114-0.475-0.114-0.12-0.227-0.597-0.595-0.164-0.262-0.099-0.229-0.116+4.982+2.312-0.055</f>
        <v>7.4129999999999985</v>
      </c>
    </row>
    <row r="4570" spans="1:5" x14ac:dyDescent="0.3">
      <c r="A4570" s="8">
        <v>377</v>
      </c>
      <c r="B4570" s="8">
        <v>25</v>
      </c>
      <c r="C4570" s="8" t="s">
        <v>26</v>
      </c>
      <c r="D4570" s="8" t="s">
        <v>64</v>
      </c>
      <c r="E4570" s="9">
        <v>7</v>
      </c>
    </row>
    <row r="4571" spans="1:5" x14ac:dyDescent="0.3">
      <c r="A4571" s="10">
        <v>377</v>
      </c>
      <c r="B4571" s="10">
        <v>25</v>
      </c>
      <c r="C4571" s="10" t="s">
        <v>35</v>
      </c>
      <c r="D4571" s="10" t="s">
        <v>32</v>
      </c>
      <c r="E4571" s="15">
        <v>4.8250000000000002</v>
      </c>
    </row>
    <row r="4572" spans="1:5" x14ac:dyDescent="0.3">
      <c r="A4572" s="8">
        <v>377</v>
      </c>
      <c r="B4572" s="8">
        <v>25</v>
      </c>
      <c r="C4572" s="13" t="s">
        <v>28</v>
      </c>
      <c r="D4572" s="8" t="s">
        <v>1</v>
      </c>
      <c r="E4572" s="9">
        <f>2.513+3.046+1.124-0.14-0.403-0.279-0.318-0.294-0.596-0.224-1.424-0.207-0.324-0.077-0.033-0.064-0.983-0.07-0.163-0.272+5.036-0.161-0.224</f>
        <v>5.463000000000001</v>
      </c>
    </row>
    <row r="4573" spans="1:5" x14ac:dyDescent="0.3">
      <c r="A4573" s="8">
        <v>377</v>
      </c>
      <c r="B4573" s="8">
        <v>25</v>
      </c>
      <c r="C4573" s="8" t="s">
        <v>30</v>
      </c>
      <c r="D4573" s="8" t="s">
        <v>1</v>
      </c>
      <c r="E4573" s="9">
        <f>4.948-0.233-0.231-0.074-0.074-1.276-0.338-0.187</f>
        <v>2.5350000000000015</v>
      </c>
    </row>
    <row r="4574" spans="1:5" x14ac:dyDescent="0.3">
      <c r="A4574" s="8">
        <v>377</v>
      </c>
      <c r="B4574" s="8">
        <v>26</v>
      </c>
      <c r="C4574" s="8" t="s">
        <v>31</v>
      </c>
      <c r="D4574" s="8" t="s">
        <v>32</v>
      </c>
      <c r="E4574" s="9">
        <v>0.74399999999999999</v>
      </c>
    </row>
    <row r="4575" spans="1:5" x14ac:dyDescent="0.3">
      <c r="A4575" s="10">
        <v>377</v>
      </c>
      <c r="B4575" s="10">
        <v>30</v>
      </c>
      <c r="C4575" s="10">
        <v>20</v>
      </c>
      <c r="D4575" s="10" t="s">
        <v>1</v>
      </c>
      <c r="E4575" s="15">
        <f>5.207-0.568-0.082-2.67-0.8+1.403-0.146-0.938-0.061-0.093-0.335-0.114-0.061</f>
        <v>0.74200000000000044</v>
      </c>
    </row>
    <row r="4576" spans="1:5" x14ac:dyDescent="0.3">
      <c r="A4576" s="8">
        <v>377</v>
      </c>
      <c r="B4576" s="8">
        <v>30</v>
      </c>
      <c r="C4576" s="8">
        <v>20</v>
      </c>
      <c r="D4576" s="8" t="s">
        <v>1</v>
      </c>
      <c r="E4576" s="9">
        <v>5</v>
      </c>
    </row>
    <row r="4577" spans="1:5" x14ac:dyDescent="0.3">
      <c r="A4577" s="10">
        <v>377</v>
      </c>
      <c r="B4577" s="10">
        <v>30</v>
      </c>
      <c r="C4577" s="10" t="s">
        <v>26</v>
      </c>
      <c r="D4577" s="10" t="s">
        <v>64</v>
      </c>
      <c r="E4577" s="15">
        <f>13.344-1.037-0.307-2.707-0.32-0.32-0.225-2.88-0.091+1.876</f>
        <v>7.3329999999999984</v>
      </c>
    </row>
    <row r="4578" spans="1:5" x14ac:dyDescent="0.3">
      <c r="A4578" s="10">
        <v>377</v>
      </c>
      <c r="B4578" s="10">
        <v>30</v>
      </c>
      <c r="C4578" s="10" t="s">
        <v>26</v>
      </c>
      <c r="D4578" s="10" t="s">
        <v>1</v>
      </c>
      <c r="E4578" s="15">
        <f>5.358+5.396</f>
        <v>10.754</v>
      </c>
    </row>
    <row r="4579" spans="1:5" x14ac:dyDescent="0.3">
      <c r="A4579" s="10">
        <v>377</v>
      </c>
      <c r="B4579" s="10">
        <v>30</v>
      </c>
      <c r="C4579" s="10">
        <v>35</v>
      </c>
      <c r="D4579" s="10" t="s">
        <v>1</v>
      </c>
      <c r="E4579" s="15">
        <f>11.628+2.748-0.782-0.784-0.168</f>
        <v>12.642000000000001</v>
      </c>
    </row>
    <row r="4580" spans="1:5" x14ac:dyDescent="0.3">
      <c r="A4580" s="10">
        <v>377</v>
      </c>
      <c r="B4580" s="10">
        <v>30</v>
      </c>
      <c r="C4580" s="10">
        <v>45</v>
      </c>
      <c r="D4580" s="10" t="s">
        <v>1</v>
      </c>
      <c r="E4580" s="15">
        <f>5.592-0.145-1.37+2.814-0.282-0.283-0.416-1.639-0.555-0.419</f>
        <v>3.2969999999999988</v>
      </c>
    </row>
    <row r="4581" spans="1:5" x14ac:dyDescent="0.3">
      <c r="A4581" s="10">
        <v>377</v>
      </c>
      <c r="B4581" s="10">
        <v>30</v>
      </c>
      <c r="C4581" s="10" t="s">
        <v>35</v>
      </c>
      <c r="D4581" s="10" t="s">
        <v>32</v>
      </c>
      <c r="E4581" s="15">
        <v>4.07</v>
      </c>
    </row>
    <row r="4582" spans="1:5" x14ac:dyDescent="0.3">
      <c r="A4582" s="8">
        <v>377</v>
      </c>
      <c r="B4582" s="8">
        <v>30</v>
      </c>
      <c r="C4582" s="8" t="s">
        <v>35</v>
      </c>
      <c r="D4582" s="8" t="s">
        <v>32</v>
      </c>
      <c r="E4582" s="9">
        <f>5-4.07</f>
        <v>0.92999999999999972</v>
      </c>
    </row>
    <row r="4583" spans="1:5" x14ac:dyDescent="0.3">
      <c r="A4583" s="10">
        <v>377</v>
      </c>
      <c r="B4583" s="10">
        <v>30</v>
      </c>
      <c r="C4583" s="10" t="s">
        <v>28</v>
      </c>
      <c r="D4583" s="10" t="s">
        <v>1</v>
      </c>
      <c r="E4583" s="15">
        <v>8.468</v>
      </c>
    </row>
    <row r="4584" spans="1:5" x14ac:dyDescent="0.3">
      <c r="A4584" s="10">
        <v>377</v>
      </c>
      <c r="B4584" s="10">
        <v>32</v>
      </c>
      <c r="C4584" s="10">
        <v>20</v>
      </c>
      <c r="D4584" s="10" t="s">
        <v>1</v>
      </c>
      <c r="E4584" s="15">
        <f>6.222-0.115-1.983-0.11-0.061</f>
        <v>3.9530000000000003</v>
      </c>
    </row>
    <row r="4585" spans="1:5" x14ac:dyDescent="0.3">
      <c r="A4585" s="8">
        <v>377</v>
      </c>
      <c r="B4585" s="8">
        <v>32</v>
      </c>
      <c r="C4585" s="8">
        <v>20</v>
      </c>
      <c r="D4585" s="8" t="s">
        <v>32</v>
      </c>
      <c r="E4585" s="9">
        <f>3.013+1.27+1.27+5.92-3.828</f>
        <v>7.6449999999999996</v>
      </c>
    </row>
    <row r="4586" spans="1:5" x14ac:dyDescent="0.3">
      <c r="A4586" s="8">
        <v>377</v>
      </c>
      <c r="B4586" s="8">
        <v>32</v>
      </c>
      <c r="C4586" s="8" t="s">
        <v>26</v>
      </c>
      <c r="D4586" s="8" t="s">
        <v>1</v>
      </c>
      <c r="E4586" s="9">
        <v>10</v>
      </c>
    </row>
    <row r="4587" spans="1:5" x14ac:dyDescent="0.3">
      <c r="A4587" s="8">
        <v>377</v>
      </c>
      <c r="B4587" s="8">
        <v>32</v>
      </c>
      <c r="C4587" s="8">
        <v>35</v>
      </c>
      <c r="D4587" s="8" t="s">
        <v>1</v>
      </c>
      <c r="E4587" s="9">
        <f>10.055-0.138-2.566+0.285-0.815-1.536-0.888-1.63-1.197-0.87-0.084-0.448+8.662+2.906</f>
        <v>11.736000000000002</v>
      </c>
    </row>
    <row r="4588" spans="1:5" x14ac:dyDescent="0.3">
      <c r="A4588" s="8">
        <v>377</v>
      </c>
      <c r="B4588" s="8">
        <v>32</v>
      </c>
      <c r="C4588" s="8">
        <v>45</v>
      </c>
      <c r="D4588" s="8" t="s">
        <v>1</v>
      </c>
      <c r="E4588" s="9">
        <v>10</v>
      </c>
    </row>
    <row r="4589" spans="1:5" x14ac:dyDescent="0.3">
      <c r="A4589" s="8">
        <v>377</v>
      </c>
      <c r="B4589" s="8">
        <v>32</v>
      </c>
      <c r="C4589" s="8" t="s">
        <v>35</v>
      </c>
      <c r="D4589" s="8" t="s">
        <v>32</v>
      </c>
      <c r="E4589" s="9">
        <v>5</v>
      </c>
    </row>
    <row r="4590" spans="1:5" x14ac:dyDescent="0.3">
      <c r="A4590" s="10">
        <v>377</v>
      </c>
      <c r="B4590" s="10">
        <v>32</v>
      </c>
      <c r="C4590" s="10" t="s">
        <v>28</v>
      </c>
      <c r="D4590" s="10" t="s">
        <v>1</v>
      </c>
      <c r="E4590" s="15">
        <f>2.424+8.072+2.684-0.288-2.453-0.129-1.558-2.684-0.704</f>
        <v>5.3640000000000008</v>
      </c>
    </row>
    <row r="4591" spans="1:5" x14ac:dyDescent="0.3">
      <c r="A4591" s="8">
        <v>377</v>
      </c>
      <c r="B4591" s="8">
        <v>32</v>
      </c>
      <c r="C4591" s="8" t="s">
        <v>30</v>
      </c>
      <c r="D4591" s="8" t="s">
        <v>1</v>
      </c>
      <c r="E4591" s="9">
        <f>4.37+2.192-0.037-0.546</f>
        <v>5.9790000000000001</v>
      </c>
    </row>
    <row r="4592" spans="1:5" x14ac:dyDescent="0.3">
      <c r="A4592" s="10">
        <v>377</v>
      </c>
      <c r="B4592" s="10">
        <v>34</v>
      </c>
      <c r="C4592" s="10" t="s">
        <v>28</v>
      </c>
      <c r="D4592" s="10" t="s">
        <v>1</v>
      </c>
      <c r="E4592" s="15">
        <v>6.9550000000000001</v>
      </c>
    </row>
    <row r="4593" spans="1:5" x14ac:dyDescent="0.3">
      <c r="A4593" s="8">
        <v>377</v>
      </c>
      <c r="B4593" s="8">
        <v>36</v>
      </c>
      <c r="C4593" s="8">
        <v>20</v>
      </c>
      <c r="D4593" s="8" t="s">
        <v>1</v>
      </c>
      <c r="E4593" s="9">
        <f>11-0.262-0.389-0.104-0.319-0.411-0.137</f>
        <v>9.3780000000000001</v>
      </c>
    </row>
    <row r="4594" spans="1:5" x14ac:dyDescent="0.3">
      <c r="A4594" s="8">
        <v>377</v>
      </c>
      <c r="B4594" s="8">
        <v>36</v>
      </c>
      <c r="C4594" s="8">
        <v>20</v>
      </c>
      <c r="D4594" s="8" t="s">
        <v>32</v>
      </c>
      <c r="E4594" s="9">
        <f>8.204+5.65-2</f>
        <v>11.854000000000001</v>
      </c>
    </row>
    <row r="4595" spans="1:5" x14ac:dyDescent="0.3">
      <c r="A4595" s="10">
        <v>377</v>
      </c>
      <c r="B4595" s="10">
        <v>36</v>
      </c>
      <c r="C4595" s="10" t="s">
        <v>26</v>
      </c>
      <c r="D4595" s="10" t="s">
        <v>64</v>
      </c>
      <c r="E4595" s="15">
        <v>10.635999999999999</v>
      </c>
    </row>
    <row r="4596" spans="1:5" x14ac:dyDescent="0.3">
      <c r="A4596" s="10">
        <v>377</v>
      </c>
      <c r="B4596" s="10">
        <v>36</v>
      </c>
      <c r="C4596" s="10">
        <v>35</v>
      </c>
      <c r="D4596" s="10" t="s">
        <v>1</v>
      </c>
      <c r="E4596" s="15">
        <f>12.104+2.964+0.064-1.358-1.691-0.164</f>
        <v>11.918999999999999</v>
      </c>
    </row>
    <row r="4597" spans="1:5" x14ac:dyDescent="0.3">
      <c r="A4597" s="10">
        <v>377</v>
      </c>
      <c r="B4597" s="10">
        <v>36</v>
      </c>
      <c r="C4597" s="10">
        <v>45</v>
      </c>
      <c r="D4597" s="10" t="s">
        <v>1</v>
      </c>
      <c r="E4597" s="15">
        <f>18.342+20.832-3.068</f>
        <v>36.106000000000002</v>
      </c>
    </row>
    <row r="4598" spans="1:5" x14ac:dyDescent="0.3">
      <c r="A4598" s="8">
        <v>377</v>
      </c>
      <c r="B4598" s="8">
        <v>36</v>
      </c>
      <c r="C4598" s="8">
        <v>45</v>
      </c>
      <c r="D4598" s="8" t="s">
        <v>1</v>
      </c>
      <c r="E4598" s="9">
        <v>20</v>
      </c>
    </row>
    <row r="4599" spans="1:5" x14ac:dyDescent="0.3">
      <c r="A4599" s="8">
        <v>377</v>
      </c>
      <c r="B4599" s="8">
        <v>36</v>
      </c>
      <c r="C4599" s="8">
        <v>45</v>
      </c>
      <c r="D4599" s="8" t="s">
        <v>1</v>
      </c>
      <c r="E4599" s="9">
        <f>43.1-18.342-20.832</f>
        <v>3.9260000000000019</v>
      </c>
    </row>
    <row r="4600" spans="1:5" x14ac:dyDescent="0.3">
      <c r="A4600" s="10">
        <v>377</v>
      </c>
      <c r="B4600" s="10">
        <v>36</v>
      </c>
      <c r="C4600" s="10" t="s">
        <v>28</v>
      </c>
      <c r="D4600" s="10" t="s">
        <v>1</v>
      </c>
      <c r="E4600" s="15">
        <v>21.824000000000002</v>
      </c>
    </row>
    <row r="4601" spans="1:5" x14ac:dyDescent="0.3">
      <c r="A4601" s="8">
        <v>377</v>
      </c>
      <c r="B4601" s="8">
        <v>36</v>
      </c>
      <c r="C4601" s="8" t="s">
        <v>30</v>
      </c>
      <c r="D4601" s="8" t="s">
        <v>1</v>
      </c>
      <c r="E4601" s="9">
        <v>5</v>
      </c>
    </row>
    <row r="4602" spans="1:5" x14ac:dyDescent="0.3">
      <c r="A4602" s="10">
        <v>377</v>
      </c>
      <c r="B4602" s="10">
        <v>36</v>
      </c>
      <c r="C4602" s="10" t="s">
        <v>31</v>
      </c>
      <c r="D4602" s="10" t="s">
        <v>32</v>
      </c>
      <c r="E4602" s="15">
        <f>2.42+2.75</f>
        <v>5.17</v>
      </c>
    </row>
    <row r="4603" spans="1:5" x14ac:dyDescent="0.3">
      <c r="A4603" s="10">
        <v>377</v>
      </c>
      <c r="B4603" s="10">
        <v>36</v>
      </c>
      <c r="C4603" s="10" t="s">
        <v>45</v>
      </c>
      <c r="D4603" s="10" t="s">
        <v>32</v>
      </c>
      <c r="E4603" s="15">
        <f>11.744-0.148-1.574-0.535</f>
        <v>9.4870000000000001</v>
      </c>
    </row>
    <row r="4604" spans="1:5" x14ac:dyDescent="0.3">
      <c r="A4604" s="10">
        <v>377</v>
      </c>
      <c r="B4604" s="10">
        <v>40</v>
      </c>
      <c r="C4604" s="10">
        <v>20</v>
      </c>
      <c r="D4604" s="10" t="s">
        <v>1</v>
      </c>
      <c r="E4604" s="15">
        <f>7.2-0.631</f>
        <v>6.569</v>
      </c>
    </row>
    <row r="4605" spans="1:5" x14ac:dyDescent="0.3">
      <c r="A4605" s="10">
        <v>377</v>
      </c>
      <c r="B4605" s="10">
        <v>40</v>
      </c>
      <c r="C4605" s="10">
        <v>20</v>
      </c>
      <c r="D4605" s="10" t="s">
        <v>1</v>
      </c>
      <c r="E4605" s="15">
        <f>6.526+8.332-1.045-3.121-1.535-0.363-0.08-0.076</f>
        <v>8.6379999999999999</v>
      </c>
    </row>
    <row r="4606" spans="1:5" x14ac:dyDescent="0.3">
      <c r="A4606" s="10">
        <v>377</v>
      </c>
      <c r="B4606" s="10">
        <v>40</v>
      </c>
      <c r="C4606" s="10" t="s">
        <v>26</v>
      </c>
      <c r="D4606" s="10" t="s">
        <v>1</v>
      </c>
      <c r="E4606" s="15">
        <v>9.09</v>
      </c>
    </row>
    <row r="4607" spans="1:5" x14ac:dyDescent="0.3">
      <c r="A4607" s="10">
        <v>377</v>
      </c>
      <c r="B4607" s="10">
        <v>40</v>
      </c>
      <c r="C4607" s="10">
        <v>35</v>
      </c>
      <c r="D4607" s="10" t="s">
        <v>1</v>
      </c>
      <c r="E4607" s="15">
        <f>7.02-3.576</f>
        <v>3.4439999999999995</v>
      </c>
    </row>
    <row r="4608" spans="1:5" x14ac:dyDescent="0.3">
      <c r="A4608" s="8">
        <v>377</v>
      </c>
      <c r="B4608" s="8">
        <v>40</v>
      </c>
      <c r="C4608" s="8">
        <v>45</v>
      </c>
      <c r="D4608" s="8" t="s">
        <v>1</v>
      </c>
      <c r="E4608" s="9">
        <f>8.722-0.185-2.893-0.101-0.345</f>
        <v>5.1979999999999995</v>
      </c>
    </row>
    <row r="4609" spans="1:5" x14ac:dyDescent="0.3">
      <c r="A4609" s="8">
        <v>377</v>
      </c>
      <c r="B4609" s="8">
        <v>40</v>
      </c>
      <c r="C4609" s="8">
        <v>45</v>
      </c>
      <c r="D4609" s="8" t="s">
        <v>1</v>
      </c>
      <c r="E4609" s="9">
        <v>2.7</v>
      </c>
    </row>
    <row r="4610" spans="1:5" x14ac:dyDescent="0.3">
      <c r="A4610" s="10">
        <v>377</v>
      </c>
      <c r="B4610" s="10">
        <v>40</v>
      </c>
      <c r="C4610" s="10" t="s">
        <v>28</v>
      </c>
      <c r="D4610" s="10" t="s">
        <v>1</v>
      </c>
      <c r="E4610" s="15">
        <f>6.208-0.255</f>
        <v>5.9530000000000003</v>
      </c>
    </row>
    <row r="4611" spans="1:5" x14ac:dyDescent="0.3">
      <c r="A4611" s="8">
        <v>377</v>
      </c>
      <c r="B4611" s="8">
        <v>40</v>
      </c>
      <c r="C4611" s="8" t="s">
        <v>28</v>
      </c>
      <c r="D4611" s="8" t="s">
        <v>1</v>
      </c>
      <c r="E4611" s="9">
        <f>21.738-6.208</f>
        <v>15.53</v>
      </c>
    </row>
    <row r="4612" spans="1:5" x14ac:dyDescent="0.3">
      <c r="A4612" s="10">
        <v>377</v>
      </c>
      <c r="B4612" s="10">
        <v>40</v>
      </c>
      <c r="C4612" s="10" t="s">
        <v>30</v>
      </c>
      <c r="D4612" s="10" t="s">
        <v>1</v>
      </c>
      <c r="E4612" s="15">
        <f>6.536-0.077-0.436-0.426-0.36-0.426-0.434-0.775</f>
        <v>3.601999999999999</v>
      </c>
    </row>
    <row r="4613" spans="1:5" x14ac:dyDescent="0.3">
      <c r="A4613" s="8">
        <v>377</v>
      </c>
      <c r="B4613" s="8">
        <v>45</v>
      </c>
      <c r="C4613" s="8">
        <v>20</v>
      </c>
      <c r="D4613" s="8" t="s">
        <v>1</v>
      </c>
      <c r="E4613" s="9">
        <f>11.208-0.502-0.105-0.982-0.424-0.346-0.317-0.346-0.138-0.878-0.354-0.387-0.168-0.708</f>
        <v>5.5529999999999999</v>
      </c>
    </row>
    <row r="4614" spans="1:5" x14ac:dyDescent="0.3">
      <c r="A4614" s="8">
        <v>377</v>
      </c>
      <c r="B4614" s="8">
        <v>45</v>
      </c>
      <c r="C4614" s="8" t="s">
        <v>26</v>
      </c>
      <c r="D4614" s="8" t="s">
        <v>1</v>
      </c>
      <c r="E4614" s="9">
        <v>9.94</v>
      </c>
    </row>
    <row r="4615" spans="1:5" x14ac:dyDescent="0.3">
      <c r="A4615" s="8">
        <v>377</v>
      </c>
      <c r="B4615" s="8">
        <v>45</v>
      </c>
      <c r="C4615" s="8">
        <v>35</v>
      </c>
      <c r="D4615" s="8" t="s">
        <v>1</v>
      </c>
      <c r="E4615" s="9">
        <v>10</v>
      </c>
    </row>
    <row r="4616" spans="1:5" x14ac:dyDescent="0.3">
      <c r="A4616" s="10">
        <v>377</v>
      </c>
      <c r="B4616" s="10">
        <v>45</v>
      </c>
      <c r="C4616" s="10">
        <v>45</v>
      </c>
      <c r="D4616" s="10" t="s">
        <v>1</v>
      </c>
      <c r="E4616" s="15">
        <f>7.432-0.188-0.053-0.117</f>
        <v>7.0740000000000007</v>
      </c>
    </row>
    <row r="4617" spans="1:5" x14ac:dyDescent="0.3">
      <c r="A4617" s="10">
        <v>377</v>
      </c>
      <c r="B4617" s="10">
        <v>45</v>
      </c>
      <c r="C4617" s="10" t="s">
        <v>28</v>
      </c>
      <c r="D4617" s="10" t="s">
        <v>1</v>
      </c>
      <c r="E4617" s="15">
        <v>6.2359999999999998</v>
      </c>
    </row>
    <row r="4618" spans="1:5" x14ac:dyDescent="0.3">
      <c r="A4618" s="8">
        <v>377</v>
      </c>
      <c r="B4618" s="8">
        <v>45</v>
      </c>
      <c r="C4618" s="8" t="s">
        <v>30</v>
      </c>
      <c r="D4618" s="8" t="s">
        <v>1</v>
      </c>
      <c r="E4618" s="9">
        <v>5</v>
      </c>
    </row>
    <row r="4619" spans="1:5" x14ac:dyDescent="0.3">
      <c r="A4619" s="10">
        <v>377</v>
      </c>
      <c r="B4619" s="10">
        <v>45</v>
      </c>
      <c r="C4619" s="10" t="s">
        <v>45</v>
      </c>
      <c r="D4619" s="10" t="s">
        <v>32</v>
      </c>
      <c r="E4619" s="15">
        <f>4.27+2.7-0.759+4.835-1.403</f>
        <v>9.6429999999999989</v>
      </c>
    </row>
    <row r="4620" spans="1:5" x14ac:dyDescent="0.3">
      <c r="A4620" s="8">
        <v>377</v>
      </c>
      <c r="B4620" s="8">
        <v>50</v>
      </c>
      <c r="C4620" s="8">
        <v>20</v>
      </c>
      <c r="D4620" s="8" t="s">
        <v>1</v>
      </c>
      <c r="E4620" s="9">
        <f>2.209+14.756-3.773-0.155-0.222-0.113-1.801-0.143</f>
        <v>10.758000000000001</v>
      </c>
    </row>
    <row r="4621" spans="1:5" x14ac:dyDescent="0.3">
      <c r="A4621" s="10">
        <v>377</v>
      </c>
      <c r="B4621" s="10">
        <v>50</v>
      </c>
      <c r="C4621" s="10" t="s">
        <v>26</v>
      </c>
      <c r="D4621" s="10" t="s">
        <v>64</v>
      </c>
      <c r="E4621" s="15">
        <f>8.056-2.683-0.061</f>
        <v>5.3119999999999994</v>
      </c>
    </row>
    <row r="4622" spans="1:5" x14ac:dyDescent="0.3">
      <c r="A4622" s="8">
        <v>377</v>
      </c>
      <c r="B4622" s="8">
        <v>50</v>
      </c>
      <c r="C4622" s="8">
        <v>35</v>
      </c>
      <c r="D4622" s="8" t="s">
        <v>1</v>
      </c>
      <c r="E4622" s="9">
        <f>13.68-2.255+0.842-1.475-0.842-0.382-0.218-2.28-1.401-1.352-0.883-0.185-2.313-0.259+6.625-0.688-1.252</f>
        <v>5.3620000000000019</v>
      </c>
    </row>
    <row r="4623" spans="1:5" x14ac:dyDescent="0.3">
      <c r="A4623" s="10">
        <v>377</v>
      </c>
      <c r="B4623" s="10">
        <v>50</v>
      </c>
      <c r="C4623" s="10">
        <v>45</v>
      </c>
      <c r="D4623" s="10" t="s">
        <v>1</v>
      </c>
      <c r="E4623" s="15">
        <f>5.639+3.056+2.33-0.417-0.191-0.223-0.098-0.62-0.834-0.114-0.62-1.636-0.454</f>
        <v>5.8179999999999987</v>
      </c>
    </row>
    <row r="4624" spans="1:5" x14ac:dyDescent="0.3">
      <c r="A4624" s="10">
        <v>377</v>
      </c>
      <c r="B4624" s="10">
        <v>50</v>
      </c>
      <c r="C4624" s="10" t="s">
        <v>35</v>
      </c>
      <c r="D4624" s="10" t="s">
        <v>32</v>
      </c>
      <c r="E4624" s="15">
        <v>2.89</v>
      </c>
    </row>
    <row r="4625" spans="1:5" x14ac:dyDescent="0.3">
      <c r="A4625" s="8">
        <v>377</v>
      </c>
      <c r="B4625" s="8">
        <v>50</v>
      </c>
      <c r="C4625" s="8" t="s">
        <v>35</v>
      </c>
      <c r="D4625" s="8" t="s">
        <v>32</v>
      </c>
      <c r="E4625" s="9">
        <f>5-2.89</f>
        <v>2.11</v>
      </c>
    </row>
    <row r="4626" spans="1:5" x14ac:dyDescent="0.3">
      <c r="A4626" s="10">
        <v>377</v>
      </c>
      <c r="B4626" s="10">
        <v>50</v>
      </c>
      <c r="C4626" s="10" t="s">
        <v>28</v>
      </c>
      <c r="D4626" s="10" t="s">
        <v>1</v>
      </c>
      <c r="E4626" s="15">
        <f>7.377-3.556+0.02+8.51</f>
        <v>12.350999999999999</v>
      </c>
    </row>
    <row r="4627" spans="1:5" x14ac:dyDescent="0.3">
      <c r="A4627" s="10">
        <v>377</v>
      </c>
      <c r="B4627" s="10">
        <v>50</v>
      </c>
      <c r="C4627" s="10" t="s">
        <v>30</v>
      </c>
      <c r="D4627" s="10" t="s">
        <v>1</v>
      </c>
      <c r="E4627" s="15">
        <f>7.134-0.111-0.567-2.863-0.314-0.612</f>
        <v>2.6670000000000003</v>
      </c>
    </row>
    <row r="4628" spans="1:5" x14ac:dyDescent="0.3">
      <c r="A4628" s="10">
        <v>377</v>
      </c>
      <c r="B4628" s="10">
        <v>50</v>
      </c>
      <c r="C4628" s="10" t="s">
        <v>31</v>
      </c>
      <c r="D4628" s="10" t="s">
        <v>32</v>
      </c>
      <c r="E4628" s="15">
        <f>11.4+3.67-0.213-1.973-0.131-1.504-0.457+1.485+2.763-4.796-0.239+2.553-0.409+5.303-0.756-1.503</f>
        <v>15.192999999999998</v>
      </c>
    </row>
    <row r="4629" spans="1:5" x14ac:dyDescent="0.3">
      <c r="A4629" s="8">
        <v>377</v>
      </c>
      <c r="B4629" s="8">
        <v>50</v>
      </c>
      <c r="C4629" s="8" t="s">
        <v>31</v>
      </c>
      <c r="D4629" s="8" t="s">
        <v>32</v>
      </c>
      <c r="E4629" s="9">
        <v>2.823</v>
      </c>
    </row>
    <row r="4630" spans="1:5" x14ac:dyDescent="0.3">
      <c r="A4630" s="10">
        <v>377</v>
      </c>
      <c r="B4630" s="10">
        <v>50</v>
      </c>
      <c r="C4630" s="10" t="s">
        <v>45</v>
      </c>
      <c r="D4630" s="10" t="s">
        <v>32</v>
      </c>
      <c r="E4630" s="15">
        <v>1.7150000000000001</v>
      </c>
    </row>
    <row r="4631" spans="1:5" x14ac:dyDescent="0.3">
      <c r="A4631" s="8">
        <v>377</v>
      </c>
      <c r="B4631" s="8">
        <v>50</v>
      </c>
      <c r="C4631" s="8" t="s">
        <v>45</v>
      </c>
      <c r="D4631" s="8" t="s">
        <v>32</v>
      </c>
      <c r="E4631" s="9">
        <f>20-1.715</f>
        <v>18.285</v>
      </c>
    </row>
    <row r="4632" spans="1:5" x14ac:dyDescent="0.3">
      <c r="A4632" s="8">
        <v>377</v>
      </c>
      <c r="B4632" s="8">
        <v>56</v>
      </c>
      <c r="C4632" s="8">
        <v>35</v>
      </c>
      <c r="D4632" s="8" t="s">
        <v>1</v>
      </c>
      <c r="E4632" s="9">
        <f>2.796+8.412-5.894</f>
        <v>5.3140000000000001</v>
      </c>
    </row>
    <row r="4633" spans="1:5" x14ac:dyDescent="0.3">
      <c r="A4633" s="10">
        <v>377</v>
      </c>
      <c r="B4633" s="10">
        <v>60</v>
      </c>
      <c r="C4633" s="10">
        <v>20</v>
      </c>
      <c r="D4633" s="10" t="s">
        <v>1</v>
      </c>
      <c r="E4633" s="15">
        <f>11.01-1.358-0.527-0.262-0.371-0.452-0.086-0.656-0.499-2.906-0.143-0.409-0.067-0.205+5.394-8.186+2.844-1.254-1.743+2.7+2.64+2.536+2.76+3.098-0.366+2.668+2.474+2.378-0.537-0.314-0.095-0.65-0.893-0.5-0.162</f>
        <v>17.861000000000001</v>
      </c>
    </row>
    <row r="4634" spans="1:5" x14ac:dyDescent="0.3">
      <c r="A4634" s="10">
        <v>377</v>
      </c>
      <c r="B4634" s="10">
        <v>60</v>
      </c>
      <c r="C4634" s="10" t="s">
        <v>26</v>
      </c>
      <c r="D4634" s="10" t="s">
        <v>1</v>
      </c>
      <c r="E4634" s="15">
        <f>9.584-2.453-2.288-0.87-0.151-2.429+11.134-1.405-0.732-0.501-2.161-0.496-0.732-0.39-0.661-0.135-2.595-0.779+10.514-0.161-0.156-1.086-0.76-0.184-2.374</f>
        <v>7.7330000000000023</v>
      </c>
    </row>
    <row r="4635" spans="1:5" x14ac:dyDescent="0.3">
      <c r="A4635" s="8">
        <v>377</v>
      </c>
      <c r="B4635" s="8">
        <v>60</v>
      </c>
      <c r="C4635" s="8">
        <v>35</v>
      </c>
      <c r="D4635" s="8" t="s">
        <v>1</v>
      </c>
      <c r="E4635" s="9">
        <v>7</v>
      </c>
    </row>
    <row r="4636" spans="1:5" x14ac:dyDescent="0.3">
      <c r="A4636" s="10">
        <v>377</v>
      </c>
      <c r="B4636" s="10">
        <v>60</v>
      </c>
      <c r="C4636" s="10">
        <v>45</v>
      </c>
      <c r="D4636" s="10" t="s">
        <v>1</v>
      </c>
      <c r="E4636" s="15">
        <f>7.368-0.321</f>
        <v>7.0470000000000006</v>
      </c>
    </row>
    <row r="4637" spans="1:5" x14ac:dyDescent="0.3">
      <c r="A4637" s="8">
        <v>377</v>
      </c>
      <c r="B4637" s="8">
        <v>60</v>
      </c>
      <c r="C4637" s="8" t="s">
        <v>35</v>
      </c>
      <c r="D4637" s="8" t="s">
        <v>32</v>
      </c>
      <c r="E4637" s="9">
        <v>5</v>
      </c>
    </row>
    <row r="4638" spans="1:5" x14ac:dyDescent="0.3">
      <c r="A4638" s="10">
        <v>377</v>
      </c>
      <c r="B4638" s="10">
        <v>60</v>
      </c>
      <c r="C4638" s="10" t="s">
        <v>30</v>
      </c>
      <c r="D4638" s="10" t="s">
        <v>1</v>
      </c>
      <c r="E4638" s="15">
        <f>12.26-0.752</f>
        <v>11.507999999999999</v>
      </c>
    </row>
    <row r="4639" spans="1:5" x14ac:dyDescent="0.3">
      <c r="A4639" s="10">
        <v>377</v>
      </c>
      <c r="B4639" s="10">
        <v>60</v>
      </c>
      <c r="C4639" s="10" t="s">
        <v>31</v>
      </c>
      <c r="D4639" s="10" t="s">
        <v>32</v>
      </c>
      <c r="E4639" s="15">
        <f>9.91-2.611-2.429+2.813-0.926</f>
        <v>6.7569999999999997</v>
      </c>
    </row>
    <row r="4640" spans="1:5" x14ac:dyDescent="0.3">
      <c r="A4640" s="8">
        <v>377</v>
      </c>
      <c r="B4640" s="8">
        <v>60</v>
      </c>
      <c r="C4640" s="8" t="s">
        <v>31</v>
      </c>
      <c r="D4640" s="8" t="s">
        <v>32</v>
      </c>
      <c r="E4640" s="9">
        <v>4.9530000000000003</v>
      </c>
    </row>
    <row r="4641" spans="1:5" x14ac:dyDescent="0.3">
      <c r="A4641" s="10">
        <v>377</v>
      </c>
      <c r="B4641" s="10">
        <v>60</v>
      </c>
      <c r="C4641" s="10" t="s">
        <v>45</v>
      </c>
      <c r="D4641" s="10" t="s">
        <v>32</v>
      </c>
      <c r="E4641" s="15">
        <f>9.71-1.97-0.258</f>
        <v>7.4820000000000011</v>
      </c>
    </row>
    <row r="4642" spans="1:5" x14ac:dyDescent="0.3">
      <c r="A4642" s="10">
        <v>377</v>
      </c>
      <c r="B4642" s="10">
        <v>63</v>
      </c>
      <c r="C4642" s="10" t="s">
        <v>28</v>
      </c>
      <c r="D4642" s="10" t="s">
        <v>1</v>
      </c>
      <c r="E4642" s="15">
        <f>10.511-1.109-0.236-3.488+22.959+3.885-3.577-3.903</f>
        <v>25.042000000000002</v>
      </c>
    </row>
    <row r="4643" spans="1:5" x14ac:dyDescent="0.3">
      <c r="A4643" s="8">
        <v>377</v>
      </c>
      <c r="B4643" s="8">
        <v>63</v>
      </c>
      <c r="C4643" s="8" t="s">
        <v>28</v>
      </c>
      <c r="D4643" s="8" t="s">
        <v>1</v>
      </c>
      <c r="E4643" s="9">
        <v>20</v>
      </c>
    </row>
    <row r="4644" spans="1:5" x14ac:dyDescent="0.3">
      <c r="A4644" s="10">
        <v>377</v>
      </c>
      <c r="B4644" s="10">
        <v>65</v>
      </c>
      <c r="C4644" s="10" t="s">
        <v>45</v>
      </c>
      <c r="D4644" s="10" t="s">
        <v>32</v>
      </c>
      <c r="E4644" s="15">
        <f>2.61+4.995+2.76</f>
        <v>10.365</v>
      </c>
    </row>
    <row r="4645" spans="1:5" x14ac:dyDescent="0.3">
      <c r="A4645" s="10">
        <v>377</v>
      </c>
      <c r="B4645" s="10">
        <v>70</v>
      </c>
      <c r="C4645" s="10">
        <v>20</v>
      </c>
      <c r="D4645" s="10" t="s">
        <v>1</v>
      </c>
      <c r="E4645" s="15">
        <f>5.452+2.597+2.74-2.597-0.308-1.083-5.504-0.192</f>
        <v>1.1050000000000006</v>
      </c>
    </row>
    <row r="4646" spans="1:5" x14ac:dyDescent="0.3">
      <c r="A4646" s="8">
        <v>377</v>
      </c>
      <c r="B4646" s="8">
        <v>70</v>
      </c>
      <c r="C4646" s="8">
        <v>20</v>
      </c>
      <c r="D4646" s="8" t="s">
        <v>1</v>
      </c>
      <c r="E4646" s="9">
        <v>10.29</v>
      </c>
    </row>
    <row r="4647" spans="1:5" x14ac:dyDescent="0.3">
      <c r="A4647" s="10">
        <v>377</v>
      </c>
      <c r="B4647" s="10">
        <v>70</v>
      </c>
      <c r="C4647" s="10" t="s">
        <v>26</v>
      </c>
      <c r="D4647" s="10" t="s">
        <v>1</v>
      </c>
      <c r="E4647" s="15">
        <f>8.312+2.432+2.507-2.437-2.511-0.553-0.298-2.694</f>
        <v>4.7580000000000009</v>
      </c>
    </row>
    <row r="4648" spans="1:5" x14ac:dyDescent="0.3">
      <c r="A4648" s="10">
        <v>377</v>
      </c>
      <c r="B4648" s="10">
        <v>70</v>
      </c>
      <c r="C4648" s="10">
        <v>35</v>
      </c>
      <c r="D4648" s="10" t="s">
        <v>1</v>
      </c>
      <c r="E4648" s="15">
        <f>7.705-1.587-0.25-1.458-1.156</f>
        <v>3.2540000000000004</v>
      </c>
    </row>
    <row r="4649" spans="1:5" x14ac:dyDescent="0.3">
      <c r="A4649" s="10">
        <v>377</v>
      </c>
      <c r="B4649" s="10">
        <v>70</v>
      </c>
      <c r="C4649" s="10">
        <v>45</v>
      </c>
      <c r="D4649" s="10" t="s">
        <v>1</v>
      </c>
      <c r="E4649" s="15">
        <f>2.808+2.882-0.149-2.692-0.07+16.424-1.65-3.932-0.298-0.255-0.088</f>
        <v>12.98</v>
      </c>
    </row>
    <row r="4650" spans="1:5" x14ac:dyDescent="0.3">
      <c r="A4650" s="8">
        <v>377</v>
      </c>
      <c r="B4650" s="8">
        <v>70</v>
      </c>
      <c r="C4650" s="8" t="s">
        <v>35</v>
      </c>
      <c r="D4650" s="8" t="s">
        <v>32</v>
      </c>
      <c r="E4650" s="9">
        <v>2.552</v>
      </c>
    </row>
    <row r="4651" spans="1:5" x14ac:dyDescent="0.3">
      <c r="A4651" s="10">
        <v>377</v>
      </c>
      <c r="B4651" s="10">
        <v>70</v>
      </c>
      <c r="C4651" s="10" t="s">
        <v>28</v>
      </c>
      <c r="D4651" s="10" t="s">
        <v>1</v>
      </c>
      <c r="E4651" s="15">
        <f>16.362-1.149-4.101-0.247</f>
        <v>10.864999999999998</v>
      </c>
    </row>
    <row r="4652" spans="1:5" x14ac:dyDescent="0.3">
      <c r="A4652" s="8">
        <v>377</v>
      </c>
      <c r="B4652" s="8">
        <v>70</v>
      </c>
      <c r="C4652" s="8" t="s">
        <v>30</v>
      </c>
      <c r="D4652" s="8" t="s">
        <v>1</v>
      </c>
      <c r="E4652" s="9">
        <v>5</v>
      </c>
    </row>
    <row r="4653" spans="1:5" x14ac:dyDescent="0.3">
      <c r="A4653" s="8">
        <v>377</v>
      </c>
      <c r="B4653" s="8">
        <v>70</v>
      </c>
      <c r="C4653" s="8" t="s">
        <v>31</v>
      </c>
      <c r="D4653" s="8" t="s">
        <v>32</v>
      </c>
      <c r="E4653" s="9">
        <v>10</v>
      </c>
    </row>
    <row r="4654" spans="1:5" x14ac:dyDescent="0.3">
      <c r="A4654" s="8">
        <v>377</v>
      </c>
      <c r="B4654" s="8">
        <v>70</v>
      </c>
      <c r="C4654" s="8" t="s">
        <v>45</v>
      </c>
      <c r="D4654" s="8" t="s">
        <v>32</v>
      </c>
      <c r="E4654" s="9">
        <v>20</v>
      </c>
    </row>
    <row r="4655" spans="1:5" x14ac:dyDescent="0.3">
      <c r="A4655" s="10">
        <v>377</v>
      </c>
      <c r="B4655" s="10">
        <v>75</v>
      </c>
      <c r="C4655" s="10" t="s">
        <v>28</v>
      </c>
      <c r="D4655" s="10" t="s">
        <v>1</v>
      </c>
      <c r="E4655" s="15">
        <f>10.36-1.713-0.874-0.224-2.687-2.687-0.084</f>
        <v>2.0909999999999984</v>
      </c>
    </row>
    <row r="4656" spans="1:5" x14ac:dyDescent="0.3">
      <c r="A4656" s="8">
        <v>377</v>
      </c>
      <c r="B4656" s="8">
        <v>80</v>
      </c>
      <c r="C4656" s="8">
        <v>20</v>
      </c>
      <c r="D4656" s="8" t="s">
        <v>1</v>
      </c>
      <c r="E4656" s="9">
        <v>5</v>
      </c>
    </row>
    <row r="4657" spans="1:5" x14ac:dyDescent="0.3">
      <c r="A4657" s="8">
        <v>377</v>
      </c>
      <c r="B4657" s="8">
        <v>80</v>
      </c>
      <c r="C4657" s="8">
        <v>45</v>
      </c>
      <c r="D4657" s="8" t="s">
        <v>1</v>
      </c>
      <c r="E4657" s="9">
        <v>9.8239999999999998</v>
      </c>
    </row>
    <row r="4658" spans="1:5" x14ac:dyDescent="0.3">
      <c r="A4658" s="10">
        <v>395</v>
      </c>
      <c r="B4658" s="10">
        <v>60</v>
      </c>
      <c r="C4658" s="10" t="s">
        <v>28</v>
      </c>
      <c r="D4658" s="10" t="s">
        <v>1</v>
      </c>
      <c r="E4658" s="15">
        <v>4.0739999999999998</v>
      </c>
    </row>
    <row r="4659" spans="1:5" x14ac:dyDescent="0.3">
      <c r="A4659" s="10">
        <v>400</v>
      </c>
      <c r="B4659" s="10">
        <v>36.299999999999997</v>
      </c>
      <c r="C4659" s="10" t="s">
        <v>183</v>
      </c>
      <c r="D4659" s="10" t="s">
        <v>184</v>
      </c>
      <c r="E4659" s="15">
        <v>1.135</v>
      </c>
    </row>
    <row r="4660" spans="1:5" x14ac:dyDescent="0.3">
      <c r="A4660" s="10">
        <v>402</v>
      </c>
      <c r="B4660" s="10">
        <v>9</v>
      </c>
      <c r="C4660" s="10">
        <v>20</v>
      </c>
      <c r="D4660" s="10" t="s">
        <v>1</v>
      </c>
      <c r="E4660" s="15">
        <f>0.97+0.129-0.078-0.021+0.814+0.868-0.023-0.028-0.029-0.097-0.971-0.025+0.58-0.055+0.798-0.017-0.116-0.092</f>
        <v>2.6069999999999998</v>
      </c>
    </row>
    <row r="4661" spans="1:5" x14ac:dyDescent="0.3">
      <c r="A4661" s="8">
        <v>402</v>
      </c>
      <c r="B4661" s="8">
        <v>9</v>
      </c>
      <c r="C4661" s="8" t="s">
        <v>26</v>
      </c>
      <c r="D4661" s="8" t="s">
        <v>1</v>
      </c>
      <c r="E4661" s="9">
        <f>0.452+0.788-0.198-0.032-0.232-0.072</f>
        <v>0.70600000000000007</v>
      </c>
    </row>
    <row r="4662" spans="1:5" x14ac:dyDescent="0.3">
      <c r="A4662" s="8">
        <v>402</v>
      </c>
      <c r="B4662" s="8">
        <v>10</v>
      </c>
      <c r="C4662" s="8">
        <v>20</v>
      </c>
      <c r="D4662" s="8" t="s">
        <v>1</v>
      </c>
      <c r="E4662" s="9">
        <v>5</v>
      </c>
    </row>
    <row r="4663" spans="1:5" x14ac:dyDescent="0.3">
      <c r="A4663" s="8">
        <v>402</v>
      </c>
      <c r="B4663" s="8">
        <v>10</v>
      </c>
      <c r="C4663" s="8" t="s">
        <v>26</v>
      </c>
      <c r="D4663" s="8" t="s">
        <v>64</v>
      </c>
      <c r="E4663" s="9">
        <v>10</v>
      </c>
    </row>
    <row r="4664" spans="1:5" x14ac:dyDescent="0.3">
      <c r="A4664" s="10">
        <v>402</v>
      </c>
      <c r="B4664" s="10">
        <v>11</v>
      </c>
      <c r="C4664" s="10" t="s">
        <v>26</v>
      </c>
      <c r="D4664" s="10" t="s">
        <v>1</v>
      </c>
      <c r="E4664" s="15">
        <v>0.90200000000000002</v>
      </c>
    </row>
    <row r="4665" spans="1:5" x14ac:dyDescent="0.3">
      <c r="A4665" s="8">
        <v>402</v>
      </c>
      <c r="B4665" s="8">
        <v>12</v>
      </c>
      <c r="C4665" s="8">
        <v>20</v>
      </c>
      <c r="D4665" s="8" t="s">
        <v>1</v>
      </c>
      <c r="E4665" s="9">
        <f>1.099-0.248-0.087-0.052-0.064-0.121-0.123-0.121-0.074</f>
        <v>0.20899999999999991</v>
      </c>
    </row>
    <row r="4666" spans="1:5" x14ac:dyDescent="0.3">
      <c r="A4666" s="10">
        <v>402</v>
      </c>
      <c r="B4666" s="10">
        <v>12</v>
      </c>
      <c r="C4666" s="10">
        <v>20</v>
      </c>
      <c r="D4666" s="10" t="s">
        <v>1</v>
      </c>
      <c r="E4666" s="15">
        <v>6.2279999999999998</v>
      </c>
    </row>
    <row r="4667" spans="1:5" x14ac:dyDescent="0.3">
      <c r="A4667" s="10">
        <v>402</v>
      </c>
      <c r="B4667" s="10">
        <v>12</v>
      </c>
      <c r="C4667" s="10" t="s">
        <v>26</v>
      </c>
      <c r="D4667" s="10" t="s">
        <v>1</v>
      </c>
      <c r="E4667" s="15">
        <f>2.644+4.818-0.159-0.244-0.622-1.308-0.202-0.093-0.126-0.089-0.366-0.374</f>
        <v>3.879</v>
      </c>
    </row>
    <row r="4668" spans="1:5" x14ac:dyDescent="0.3">
      <c r="A4668" s="10">
        <v>402</v>
      </c>
      <c r="B4668" s="10">
        <v>14</v>
      </c>
      <c r="C4668" s="10">
        <v>20</v>
      </c>
      <c r="D4668" s="10" t="s">
        <v>1</v>
      </c>
      <c r="E4668" s="15">
        <f>5.622-0.118</f>
        <v>5.5039999999999996</v>
      </c>
    </row>
    <row r="4669" spans="1:5" x14ac:dyDescent="0.3">
      <c r="A4669" s="8">
        <v>402</v>
      </c>
      <c r="B4669" s="8">
        <v>14</v>
      </c>
      <c r="C4669" s="8" t="s">
        <v>26</v>
      </c>
      <c r="D4669" s="8" t="s">
        <v>1</v>
      </c>
      <c r="E4669" s="9">
        <f>1.204+1.316-1.213-0.127-0.277-0.102-0.049-0.111-0.096-0.142</f>
        <v>0.40299999999999991</v>
      </c>
    </row>
    <row r="4670" spans="1:5" x14ac:dyDescent="0.3">
      <c r="A4670" s="10">
        <v>402</v>
      </c>
      <c r="B4670" s="10">
        <v>14</v>
      </c>
      <c r="C4670" s="10" t="s">
        <v>26</v>
      </c>
      <c r="D4670" s="10" t="s">
        <v>1</v>
      </c>
      <c r="E4670" s="15">
        <f>2.624+2.44-0.565</f>
        <v>4.4990000000000006</v>
      </c>
    </row>
    <row r="4671" spans="1:5" x14ac:dyDescent="0.3">
      <c r="A4671" s="10">
        <v>402</v>
      </c>
      <c r="B4671" s="10">
        <v>16</v>
      </c>
      <c r="C4671" s="10">
        <v>20</v>
      </c>
      <c r="D4671" s="10" t="s">
        <v>1</v>
      </c>
      <c r="E4671" s="15">
        <f>5.689-0.046-0.313-0.128-0.475-0.242-0.394-0.083-0.13-0.584-0.035-0.316-0.318-0.319</f>
        <v>2.306</v>
      </c>
    </row>
    <row r="4672" spans="1:5" x14ac:dyDescent="0.3">
      <c r="A4672" s="10">
        <v>402</v>
      </c>
      <c r="B4672" s="10">
        <v>16</v>
      </c>
      <c r="C4672" s="10">
        <v>20</v>
      </c>
      <c r="D4672" s="10" t="s">
        <v>1</v>
      </c>
      <c r="E4672" s="15">
        <v>1.0920000000000001</v>
      </c>
    </row>
    <row r="4673" spans="1:5" x14ac:dyDescent="0.3">
      <c r="A4673" s="10">
        <v>402</v>
      </c>
      <c r="B4673" s="10">
        <v>16</v>
      </c>
      <c r="C4673" s="10" t="s">
        <v>26</v>
      </c>
      <c r="D4673" s="10" t="s">
        <v>1</v>
      </c>
      <c r="E4673" s="15">
        <f>1.386+3.576-0.946-0.022-1.287-0.266-0.389</f>
        <v>2.0520000000000005</v>
      </c>
    </row>
    <row r="4674" spans="1:5" x14ac:dyDescent="0.3">
      <c r="A4674" s="10">
        <v>402</v>
      </c>
      <c r="B4674" s="10">
        <v>18</v>
      </c>
      <c r="C4674" s="10" t="s">
        <v>26</v>
      </c>
      <c r="D4674" s="10" t="s">
        <v>1</v>
      </c>
      <c r="E4674" s="15">
        <f>3.085-1.543-0.177-0.021-0.05-0.353-0.696</f>
        <v>0.24500000000000011</v>
      </c>
    </row>
    <row r="4675" spans="1:5" x14ac:dyDescent="0.3">
      <c r="A4675" s="10">
        <v>402</v>
      </c>
      <c r="B4675" s="10">
        <v>20</v>
      </c>
      <c r="C4675" s="10">
        <v>20</v>
      </c>
      <c r="D4675" s="10" t="s">
        <v>1</v>
      </c>
      <c r="E4675" s="15">
        <f>5.573-0.299-0.14-0.208-0.733-0.067-0.152-0.067-0.067</f>
        <v>3.84</v>
      </c>
    </row>
    <row r="4676" spans="1:5" x14ac:dyDescent="0.3">
      <c r="A4676" s="10">
        <v>402</v>
      </c>
      <c r="B4676" s="10">
        <v>20</v>
      </c>
      <c r="C4676" s="10" t="s">
        <v>26</v>
      </c>
      <c r="D4676" s="10" t="s">
        <v>1</v>
      </c>
      <c r="E4676" s="15">
        <f>3.892+1.172-0.482-0.973-0.104</f>
        <v>3.5049999999999999</v>
      </c>
    </row>
    <row r="4677" spans="1:5" x14ac:dyDescent="0.3">
      <c r="A4677" s="8">
        <v>402</v>
      </c>
      <c r="B4677" s="8">
        <v>20</v>
      </c>
      <c r="C4677" s="8" t="s">
        <v>30</v>
      </c>
      <c r="D4677" s="8" t="s">
        <v>1</v>
      </c>
      <c r="E4677" s="9">
        <v>5</v>
      </c>
    </row>
    <row r="4678" spans="1:5" x14ac:dyDescent="0.3">
      <c r="A4678" s="8">
        <v>402</v>
      </c>
      <c r="B4678" s="8">
        <v>22</v>
      </c>
      <c r="C4678" s="8">
        <v>20</v>
      </c>
      <c r="D4678" s="8" t="s">
        <v>1</v>
      </c>
      <c r="E4678" s="9">
        <f>2.445-0.285-0.11-0.737</f>
        <v>1.3129999999999997</v>
      </c>
    </row>
    <row r="4679" spans="1:5" x14ac:dyDescent="0.3">
      <c r="A4679" s="10">
        <v>402</v>
      </c>
      <c r="B4679" s="10">
        <v>25</v>
      </c>
      <c r="C4679" s="10">
        <v>20</v>
      </c>
      <c r="D4679" s="10" t="s">
        <v>1</v>
      </c>
      <c r="E4679" s="15">
        <f>7.067-0.359-2.594-0.062+0.003-0.248+2.719-1.217-0.644-0.437-0.481-0.552-0.243-0.241-0.154</f>
        <v>2.5569999999999991</v>
      </c>
    </row>
    <row r="4680" spans="1:5" x14ac:dyDescent="0.3">
      <c r="A4680" s="10">
        <v>402</v>
      </c>
      <c r="B4680" s="10">
        <v>25</v>
      </c>
      <c r="C4680" s="10" t="s">
        <v>26</v>
      </c>
      <c r="D4680" s="10" t="s">
        <v>1</v>
      </c>
      <c r="E4680" s="15">
        <f>2.494+2.592</f>
        <v>5.0860000000000003</v>
      </c>
    </row>
    <row r="4681" spans="1:5" x14ac:dyDescent="0.3">
      <c r="A4681" s="10">
        <v>402</v>
      </c>
      <c r="B4681" s="10">
        <v>25</v>
      </c>
      <c r="C4681" s="10" t="s">
        <v>28</v>
      </c>
      <c r="D4681" s="10" t="s">
        <v>1</v>
      </c>
      <c r="E4681" s="15">
        <f>2.448+2.634-2.448</f>
        <v>2.6339999999999999</v>
      </c>
    </row>
    <row r="4682" spans="1:5" x14ac:dyDescent="0.3">
      <c r="A4682" s="8">
        <v>402</v>
      </c>
      <c r="B4682" s="8">
        <v>25</v>
      </c>
      <c r="C4682" s="8" t="s">
        <v>30</v>
      </c>
      <c r="D4682" s="8" t="s">
        <v>1</v>
      </c>
      <c r="E4682" s="9">
        <v>8</v>
      </c>
    </row>
    <row r="4683" spans="1:5" x14ac:dyDescent="0.3">
      <c r="A4683" s="10">
        <v>402</v>
      </c>
      <c r="B4683" s="10">
        <v>30</v>
      </c>
      <c r="C4683" s="10">
        <v>20</v>
      </c>
      <c r="D4683" s="10" t="s">
        <v>1</v>
      </c>
      <c r="E4683" s="15">
        <f>5.502-0.056-0.293</f>
        <v>5.1529999999999996</v>
      </c>
    </row>
    <row r="4684" spans="1:5" x14ac:dyDescent="0.3">
      <c r="A4684" s="10">
        <v>402</v>
      </c>
      <c r="B4684" s="10">
        <v>30</v>
      </c>
      <c r="C4684" s="10" t="s">
        <v>26</v>
      </c>
      <c r="D4684" s="10" t="s">
        <v>1</v>
      </c>
      <c r="E4684" s="15">
        <f>1.6+2.116-1.16-0.355-0.4-0.166-0.124-0.4+0.056+5.652-0.788-0.521-0.275-0.096-0.29-0.091-1.168-0.293+0.905-0.099-0.282</f>
        <v>3.8209999999999997</v>
      </c>
    </row>
    <row r="4685" spans="1:5" x14ac:dyDescent="0.3">
      <c r="A4685" s="8">
        <v>402</v>
      </c>
      <c r="B4685" s="8">
        <v>30</v>
      </c>
      <c r="C4685" s="8" t="s">
        <v>26</v>
      </c>
      <c r="D4685" s="8" t="s">
        <v>1</v>
      </c>
      <c r="E4685" s="9">
        <v>2.2869999999999999</v>
      </c>
    </row>
    <row r="4686" spans="1:5" x14ac:dyDescent="0.3">
      <c r="A4686" s="10">
        <v>402</v>
      </c>
      <c r="B4686" s="10">
        <v>30</v>
      </c>
      <c r="C4686" s="10">
        <v>45</v>
      </c>
      <c r="D4686" s="10" t="s">
        <v>1</v>
      </c>
      <c r="E4686" s="15">
        <f>5.136-0.842</f>
        <v>4.2940000000000005</v>
      </c>
    </row>
    <row r="4687" spans="1:5" x14ac:dyDescent="0.3">
      <c r="A4687" s="10">
        <v>402</v>
      </c>
      <c r="B4687" s="10">
        <v>30</v>
      </c>
      <c r="C4687" s="10" t="s">
        <v>28</v>
      </c>
      <c r="D4687" s="10" t="s">
        <v>1</v>
      </c>
      <c r="E4687" s="15">
        <f>4.762-2.383</f>
        <v>2.3789999999999996</v>
      </c>
    </row>
    <row r="4688" spans="1:5" x14ac:dyDescent="0.3">
      <c r="A4688" s="8">
        <v>402</v>
      </c>
      <c r="B4688" s="8">
        <v>30</v>
      </c>
      <c r="C4688" s="8" t="s">
        <v>30</v>
      </c>
      <c r="D4688" s="8" t="s">
        <v>1</v>
      </c>
      <c r="E4688" s="9">
        <f>2.681+0.88-0.075-0.262-0.036-0.24-0.268-0.194-0.365-0.26-0.315-0.486</f>
        <v>1.0599999999999996</v>
      </c>
    </row>
    <row r="4689" spans="1:5" x14ac:dyDescent="0.3">
      <c r="A4689" s="8">
        <v>402</v>
      </c>
      <c r="B4689" s="8">
        <v>30</v>
      </c>
      <c r="C4689" s="8" t="s">
        <v>30</v>
      </c>
      <c r="D4689" s="8" t="s">
        <v>1</v>
      </c>
      <c r="E4689" s="9">
        <v>5</v>
      </c>
    </row>
    <row r="4690" spans="1:5" x14ac:dyDescent="0.3">
      <c r="A4690" s="8">
        <v>402</v>
      </c>
      <c r="B4690" s="8">
        <v>32</v>
      </c>
      <c r="C4690" s="13">
        <v>20</v>
      </c>
      <c r="D4690" s="8" t="s">
        <v>1</v>
      </c>
      <c r="E4690" s="9">
        <f>4.79+2.077+0.402-0.273-0.159-0.059-0.071-0.036-0.235-1.65-0.446-0.112-0.044-0.361</f>
        <v>3.8230000000000022</v>
      </c>
    </row>
    <row r="4691" spans="1:5" x14ac:dyDescent="0.3">
      <c r="A4691" s="10">
        <v>402</v>
      </c>
      <c r="B4691" s="10">
        <v>32</v>
      </c>
      <c r="C4691" s="10" t="s">
        <v>26</v>
      </c>
      <c r="D4691" s="10" t="s">
        <v>1</v>
      </c>
      <c r="E4691" s="15">
        <f>20.195+13.849+2.913+5.382-5.084+23.974-20.466-0.528-1.726+5.869+1.248-0.522-0.103-0.595-0.045-11.142-0.074-0.209-0.071-2.862-0.598-0.308-0.214</f>
        <v>28.882999999999996</v>
      </c>
    </row>
    <row r="4692" spans="1:5" x14ac:dyDescent="0.3">
      <c r="A4692" s="10">
        <v>402</v>
      </c>
      <c r="B4692" s="10">
        <v>32</v>
      </c>
      <c r="C4692" s="10" t="s">
        <v>28</v>
      </c>
      <c r="D4692" s="10" t="s">
        <v>1</v>
      </c>
      <c r="E4692" s="15">
        <v>4.6740000000000004</v>
      </c>
    </row>
    <row r="4693" spans="1:5" x14ac:dyDescent="0.3">
      <c r="A4693" s="10">
        <v>402</v>
      </c>
      <c r="B4693" s="10">
        <v>36</v>
      </c>
      <c r="C4693" s="10">
        <v>20</v>
      </c>
      <c r="D4693" s="10" t="s">
        <v>1</v>
      </c>
      <c r="E4693" s="15">
        <f>5.826-0.669-2.22-0.581-0.591-0.31-0.062-0.066+6.258-0.128</f>
        <v>7.4569999999999999</v>
      </c>
    </row>
    <row r="4694" spans="1:5" x14ac:dyDescent="0.3">
      <c r="A4694" s="10">
        <v>402</v>
      </c>
      <c r="B4694" s="10">
        <v>36</v>
      </c>
      <c r="C4694" s="10" t="s">
        <v>26</v>
      </c>
      <c r="D4694" s="10" t="s">
        <v>1</v>
      </c>
      <c r="E4694" s="15">
        <f>2.454+1.56+2.76-0.502-0.108-0.144</f>
        <v>6.0200000000000005</v>
      </c>
    </row>
    <row r="4695" spans="1:5" x14ac:dyDescent="0.3">
      <c r="A4695" s="10">
        <v>402</v>
      </c>
      <c r="B4695" s="10">
        <v>36</v>
      </c>
      <c r="C4695" s="10">
        <v>45</v>
      </c>
      <c r="D4695" s="10" t="s">
        <v>1</v>
      </c>
      <c r="E4695" s="15">
        <f>10.107-0.15-0.165-0.592-4.163-0.576-0.342-1.437-0.152-0.543-0.405-0.717+5.57-0.875-0.668-0.096-0.083-0.047</f>
        <v>4.6659999999999995</v>
      </c>
    </row>
    <row r="4696" spans="1:5" x14ac:dyDescent="0.3">
      <c r="A4696" s="8">
        <v>402</v>
      </c>
      <c r="B4696" s="8">
        <v>36</v>
      </c>
      <c r="C4696" s="8" t="s">
        <v>28</v>
      </c>
      <c r="D4696" s="8" t="s">
        <v>1</v>
      </c>
      <c r="E4696" s="9">
        <v>6.0880000000000001</v>
      </c>
    </row>
    <row r="4697" spans="1:5" x14ac:dyDescent="0.3">
      <c r="A4697" s="10">
        <v>402</v>
      </c>
      <c r="B4697" s="10">
        <v>40</v>
      </c>
      <c r="C4697" s="10">
        <v>20</v>
      </c>
      <c r="D4697" s="10" t="s">
        <v>1</v>
      </c>
      <c r="E4697" s="15">
        <f>3.01+2.63</f>
        <v>5.64</v>
      </c>
    </row>
    <row r="4698" spans="1:5" x14ac:dyDescent="0.3">
      <c r="A4698" s="10">
        <v>402</v>
      </c>
      <c r="B4698" s="10">
        <v>40</v>
      </c>
      <c r="C4698" s="10" t="s">
        <v>26</v>
      </c>
      <c r="D4698" s="10" t="s">
        <v>1</v>
      </c>
      <c r="E4698" s="15">
        <f>2.776+2.61-0.237-0.269-0.197-0.376-0.076-0.376-0.129-1.006</f>
        <v>2.7199999999999989</v>
      </c>
    </row>
    <row r="4699" spans="1:5" x14ac:dyDescent="0.3">
      <c r="A4699" s="10">
        <v>402</v>
      </c>
      <c r="B4699" s="10">
        <v>50</v>
      </c>
      <c r="C4699" s="10">
        <v>20</v>
      </c>
      <c r="D4699" s="10" t="s">
        <v>1</v>
      </c>
      <c r="E4699" s="15">
        <f>5.5+5.296-0.2-5.518+19.694-0.15-0.086-7.481-0.114</f>
        <v>16.940999999999999</v>
      </c>
    </row>
    <row r="4700" spans="1:5" x14ac:dyDescent="0.3">
      <c r="A4700" s="10">
        <v>402</v>
      </c>
      <c r="B4700" s="10">
        <v>50</v>
      </c>
      <c r="C4700" s="10" t="s">
        <v>26</v>
      </c>
      <c r="D4700" s="10" t="s">
        <v>1</v>
      </c>
      <c r="E4700" s="15">
        <f>2.766+2.744-1.334-0.184-0.319-0.118</f>
        <v>3.5550000000000002</v>
      </c>
    </row>
    <row r="4701" spans="1:5" x14ac:dyDescent="0.3">
      <c r="A4701" s="10">
        <v>402</v>
      </c>
      <c r="B4701" s="10">
        <v>56</v>
      </c>
      <c r="C4701" s="10" t="s">
        <v>26</v>
      </c>
      <c r="D4701" s="10" t="s">
        <v>1</v>
      </c>
      <c r="E4701" s="15">
        <f>8.52+2.888-1.47-1.364-1.07+11.556+2.239-0.266</f>
        <v>21.032999999999994</v>
      </c>
    </row>
    <row r="4702" spans="1:5" x14ac:dyDescent="0.3">
      <c r="A4702" s="8">
        <v>402</v>
      </c>
      <c r="B4702" s="8">
        <v>56</v>
      </c>
      <c r="C4702" s="8" t="s">
        <v>28</v>
      </c>
      <c r="D4702" s="8" t="s">
        <v>1</v>
      </c>
      <c r="E4702" s="9">
        <v>17.898</v>
      </c>
    </row>
    <row r="4703" spans="1:5" x14ac:dyDescent="0.3">
      <c r="A4703" s="10">
        <v>402</v>
      </c>
      <c r="B4703" s="10">
        <v>60</v>
      </c>
      <c r="C4703" s="10">
        <v>20</v>
      </c>
      <c r="D4703" s="10" t="s">
        <v>1</v>
      </c>
      <c r="E4703" s="15">
        <v>2.8460000000000001</v>
      </c>
    </row>
    <row r="4704" spans="1:5" x14ac:dyDescent="0.3">
      <c r="A4704" s="8">
        <v>402</v>
      </c>
      <c r="B4704" s="8">
        <v>60</v>
      </c>
      <c r="C4704" s="8">
        <v>20</v>
      </c>
      <c r="D4704" s="8" t="s">
        <v>44</v>
      </c>
      <c r="E4704" s="9">
        <v>1.5349999999999999</v>
      </c>
    </row>
    <row r="4705" spans="1:5" x14ac:dyDescent="0.3">
      <c r="A4705" s="10">
        <v>402</v>
      </c>
      <c r="B4705" s="10">
        <v>60</v>
      </c>
      <c r="C4705" s="10" t="s">
        <v>26</v>
      </c>
      <c r="D4705" s="10" t="s">
        <v>1</v>
      </c>
      <c r="E4705" s="15">
        <f>10.538-0.351-2.316</f>
        <v>7.8710000000000013</v>
      </c>
    </row>
    <row r="4706" spans="1:5" x14ac:dyDescent="0.3">
      <c r="A4706" s="8">
        <v>402</v>
      </c>
      <c r="B4706" s="8">
        <v>60</v>
      </c>
      <c r="C4706" s="8" t="s">
        <v>30</v>
      </c>
      <c r="D4706" s="8" t="s">
        <v>1</v>
      </c>
      <c r="E4706" s="9">
        <v>5</v>
      </c>
    </row>
    <row r="4707" spans="1:5" x14ac:dyDescent="0.3">
      <c r="A4707" s="8">
        <v>402</v>
      </c>
      <c r="B4707" s="8">
        <v>63</v>
      </c>
      <c r="C4707" s="8" t="s">
        <v>28</v>
      </c>
      <c r="D4707" s="8" t="s">
        <v>1</v>
      </c>
      <c r="E4707" s="9">
        <v>20.754000000000001</v>
      </c>
    </row>
    <row r="4708" spans="1:5" x14ac:dyDescent="0.3">
      <c r="A4708" s="10">
        <v>402</v>
      </c>
      <c r="B4708" s="10">
        <v>70</v>
      </c>
      <c r="C4708" s="10">
        <v>20</v>
      </c>
      <c r="D4708" s="10" t="s">
        <v>1</v>
      </c>
      <c r="E4708" s="15">
        <f>8.048-0.903-0.377</f>
        <v>6.7679999999999998</v>
      </c>
    </row>
    <row r="4709" spans="1:5" x14ac:dyDescent="0.3">
      <c r="A4709" s="8">
        <v>402</v>
      </c>
      <c r="B4709" s="8">
        <v>70</v>
      </c>
      <c r="C4709" s="8" t="s">
        <v>26</v>
      </c>
      <c r="D4709" s="8" t="s">
        <v>1</v>
      </c>
      <c r="E4709" s="9">
        <f>2.816-0.369-0.323-0.404-1.175</f>
        <v>0.54500000000000015</v>
      </c>
    </row>
    <row r="4710" spans="1:5" x14ac:dyDescent="0.3">
      <c r="A4710" s="8">
        <v>402</v>
      </c>
      <c r="B4710" s="8">
        <v>70</v>
      </c>
      <c r="C4710" s="8" t="s">
        <v>26</v>
      </c>
      <c r="D4710" s="8" t="s">
        <v>1</v>
      </c>
      <c r="E4710" s="9">
        <v>6.53</v>
      </c>
    </row>
    <row r="4711" spans="1:5" x14ac:dyDescent="0.3">
      <c r="A4711" s="8">
        <v>402</v>
      </c>
      <c r="B4711" s="8">
        <v>75</v>
      </c>
      <c r="C4711" s="8" t="s">
        <v>30</v>
      </c>
      <c r="D4711" s="8" t="s">
        <v>1</v>
      </c>
      <c r="E4711" s="9">
        <v>7</v>
      </c>
    </row>
    <row r="4712" spans="1:5" x14ac:dyDescent="0.3">
      <c r="A4712" s="10">
        <v>402</v>
      </c>
      <c r="B4712" s="10">
        <v>80</v>
      </c>
      <c r="C4712" s="10" t="s">
        <v>26</v>
      </c>
      <c r="D4712" s="10" t="s">
        <v>1</v>
      </c>
      <c r="E4712" s="15">
        <f>4.415-0.35-0.287-0.509</f>
        <v>3.2690000000000006</v>
      </c>
    </row>
    <row r="4713" spans="1:5" x14ac:dyDescent="0.3">
      <c r="A4713" s="10">
        <v>406</v>
      </c>
      <c r="B4713" s="10">
        <v>8</v>
      </c>
      <c r="C4713" s="10">
        <v>20</v>
      </c>
      <c r="D4713" s="10" t="s">
        <v>1</v>
      </c>
      <c r="E4713" s="15">
        <f>5.222-0.124-0.206-0.027-0.04-0.039-0.399-0.888-0.04-0.802</f>
        <v>2.6570000000000005</v>
      </c>
    </row>
    <row r="4714" spans="1:5" x14ac:dyDescent="0.3">
      <c r="A4714" s="10">
        <v>406.4</v>
      </c>
      <c r="B4714" s="10">
        <v>9.5299999999999994</v>
      </c>
      <c r="C4714" s="10" t="s">
        <v>139</v>
      </c>
      <c r="D4714" s="10" t="s">
        <v>114</v>
      </c>
      <c r="E4714" s="15">
        <v>1.0900000000000001</v>
      </c>
    </row>
    <row r="4715" spans="1:5" x14ac:dyDescent="0.3">
      <c r="A4715" s="10">
        <v>406</v>
      </c>
      <c r="B4715" s="10">
        <v>10</v>
      </c>
      <c r="C4715" s="10">
        <v>20</v>
      </c>
      <c r="D4715" s="10" t="s">
        <v>1</v>
      </c>
      <c r="E4715" s="15">
        <f>1.62-0.89-0.263-0.524+0.073+1.888-0.133-0.314-0.136-0.068-0.083-0.652-0.211-0.027-0.057</f>
        <v>0.2229999999999997</v>
      </c>
    </row>
    <row r="4716" spans="1:5" x14ac:dyDescent="0.3">
      <c r="A4716" s="8">
        <v>406</v>
      </c>
      <c r="B4716" s="8">
        <v>10</v>
      </c>
      <c r="C4716" s="8">
        <v>20</v>
      </c>
      <c r="D4716" s="8" t="s">
        <v>1</v>
      </c>
      <c r="E4716" s="9">
        <v>5</v>
      </c>
    </row>
    <row r="4717" spans="1:5" x14ac:dyDescent="0.3">
      <c r="A4717" s="8">
        <v>406</v>
      </c>
      <c r="B4717" s="8">
        <v>10</v>
      </c>
      <c r="C4717" s="8" t="s">
        <v>26</v>
      </c>
      <c r="D4717" s="8" t="s">
        <v>64</v>
      </c>
      <c r="E4717" s="9">
        <f>0.898+4.11-1.108</f>
        <v>3.9</v>
      </c>
    </row>
    <row r="4718" spans="1:5" x14ac:dyDescent="0.3">
      <c r="A4718" s="8">
        <v>406</v>
      </c>
      <c r="B4718" s="8">
        <v>10</v>
      </c>
      <c r="C4718" s="8" t="s">
        <v>26</v>
      </c>
      <c r="D4718" s="8" t="s">
        <v>1</v>
      </c>
      <c r="E4718" s="9">
        <f>1.69-0.898</f>
        <v>0.79199999999999993</v>
      </c>
    </row>
    <row r="4719" spans="1:5" x14ac:dyDescent="0.3">
      <c r="A4719" s="10">
        <v>406</v>
      </c>
      <c r="B4719" s="10">
        <v>10</v>
      </c>
      <c r="C4719" s="10" t="s">
        <v>160</v>
      </c>
      <c r="D4719" s="10" t="s">
        <v>1</v>
      </c>
      <c r="E4719" s="15">
        <f>5.155-1.03</f>
        <v>4.125</v>
      </c>
    </row>
    <row r="4720" spans="1:5" x14ac:dyDescent="0.3">
      <c r="A4720" s="10">
        <v>406</v>
      </c>
      <c r="B4720" s="10">
        <v>12</v>
      </c>
      <c r="C4720" s="10">
        <v>20</v>
      </c>
      <c r="D4720" s="10" t="s">
        <v>1</v>
      </c>
      <c r="E4720" s="15">
        <f>16.92-11.886-0.093-0.354-0.374-0.215</f>
        <v>3.9980000000000029</v>
      </c>
    </row>
    <row r="4721" spans="1:5" x14ac:dyDescent="0.3">
      <c r="A4721" s="8">
        <v>406</v>
      </c>
      <c r="B4721" s="8">
        <v>12</v>
      </c>
      <c r="C4721" s="8" t="s">
        <v>26</v>
      </c>
      <c r="D4721" s="8" t="s">
        <v>64</v>
      </c>
      <c r="E4721" s="9">
        <f>1.322+2.592+1.35-4.112-0.088</f>
        <v>1.0640000000000001</v>
      </c>
    </row>
    <row r="4722" spans="1:5" x14ac:dyDescent="0.3">
      <c r="A4722" s="8">
        <v>406</v>
      </c>
      <c r="B4722" s="8">
        <v>12</v>
      </c>
      <c r="C4722" s="8" t="s">
        <v>26</v>
      </c>
      <c r="D4722" s="8" t="s">
        <v>1</v>
      </c>
      <c r="E4722" s="9">
        <v>1.3759999999999999</v>
      </c>
    </row>
    <row r="4723" spans="1:5" x14ac:dyDescent="0.3">
      <c r="A4723" s="8">
        <v>406</v>
      </c>
      <c r="B4723" s="8">
        <v>12</v>
      </c>
      <c r="C4723" s="8" t="s">
        <v>26</v>
      </c>
      <c r="D4723" s="8" t="s">
        <v>64</v>
      </c>
      <c r="E4723" s="9">
        <v>10</v>
      </c>
    </row>
    <row r="4724" spans="1:5" x14ac:dyDescent="0.3">
      <c r="A4724" s="10">
        <v>406.4</v>
      </c>
      <c r="B4724" s="10">
        <v>12.7</v>
      </c>
      <c r="C4724" s="10" t="s">
        <v>26</v>
      </c>
      <c r="D4724" s="10" t="s">
        <v>1</v>
      </c>
      <c r="E4724" s="15">
        <v>1.33</v>
      </c>
    </row>
    <row r="4725" spans="1:5" x14ac:dyDescent="0.3">
      <c r="A4725" s="10">
        <v>406</v>
      </c>
      <c r="B4725" s="10">
        <v>13</v>
      </c>
      <c r="C4725" s="10" t="s">
        <v>26</v>
      </c>
      <c r="D4725" s="10" t="s">
        <v>1</v>
      </c>
      <c r="E4725" s="15">
        <v>0.86</v>
      </c>
    </row>
    <row r="4726" spans="1:5" x14ac:dyDescent="0.3">
      <c r="A4726" s="10">
        <v>406</v>
      </c>
      <c r="B4726" s="10">
        <v>14</v>
      </c>
      <c r="C4726" s="10">
        <v>20</v>
      </c>
      <c r="D4726" s="10" t="s">
        <v>1</v>
      </c>
      <c r="E4726" s="15">
        <f>1.346+2.698+1.32-3.99-0.411</f>
        <v>0.96300000000000052</v>
      </c>
    </row>
    <row r="4727" spans="1:5" x14ac:dyDescent="0.3">
      <c r="A4727" s="10">
        <v>406</v>
      </c>
      <c r="B4727" s="10">
        <v>14</v>
      </c>
      <c r="C4727" s="10" t="s">
        <v>26</v>
      </c>
      <c r="D4727" s="10" t="s">
        <v>64</v>
      </c>
      <c r="E4727" s="15">
        <v>5.3620000000000001</v>
      </c>
    </row>
    <row r="4728" spans="1:5" x14ac:dyDescent="0.3">
      <c r="A4728" s="10">
        <v>406</v>
      </c>
      <c r="B4728" s="10">
        <v>16</v>
      </c>
      <c r="C4728" s="10">
        <v>20</v>
      </c>
      <c r="D4728" s="10" t="s">
        <v>1</v>
      </c>
      <c r="E4728" s="15">
        <f>2.596+1.346+1.33-1.335-0.9-0.479-0.243-0.324-0.163-0.166-0.076-0.03</f>
        <v>1.5560000000000003</v>
      </c>
    </row>
    <row r="4729" spans="1:5" x14ac:dyDescent="0.3">
      <c r="A4729" s="10">
        <v>406</v>
      </c>
      <c r="B4729" s="10">
        <v>16</v>
      </c>
      <c r="C4729" s="10" t="s">
        <v>26</v>
      </c>
      <c r="D4729" s="10" t="s">
        <v>1</v>
      </c>
      <c r="E4729" s="15">
        <v>4.5199999999999996</v>
      </c>
    </row>
    <row r="4730" spans="1:5" x14ac:dyDescent="0.3">
      <c r="A4730" s="8">
        <v>406</v>
      </c>
      <c r="B4730" s="8">
        <v>16</v>
      </c>
      <c r="C4730" s="8" t="s">
        <v>26</v>
      </c>
      <c r="D4730" s="8" t="s">
        <v>64</v>
      </c>
      <c r="E4730" s="9">
        <v>10</v>
      </c>
    </row>
    <row r="4731" spans="1:5" x14ac:dyDescent="0.3">
      <c r="A4731" s="10">
        <v>406</v>
      </c>
      <c r="B4731" s="10">
        <v>17</v>
      </c>
      <c r="C4731" s="10" t="s">
        <v>21</v>
      </c>
      <c r="D4731" s="10" t="s">
        <v>1</v>
      </c>
      <c r="E4731" s="15">
        <f>1.51-0.287-0.205</f>
        <v>1.018</v>
      </c>
    </row>
    <row r="4732" spans="1:5" x14ac:dyDescent="0.3">
      <c r="A4732" s="10">
        <v>406</v>
      </c>
      <c r="B4732" s="10">
        <v>20</v>
      </c>
      <c r="C4732" s="10">
        <v>20</v>
      </c>
      <c r="D4732" s="10" t="s">
        <v>1</v>
      </c>
      <c r="E4732" s="15">
        <f>3.994+1.142-0.621-0.764-1.164</f>
        <v>2.5870000000000006</v>
      </c>
    </row>
    <row r="4733" spans="1:5" x14ac:dyDescent="0.3">
      <c r="A4733" s="10">
        <v>406</v>
      </c>
      <c r="B4733" s="10">
        <v>21</v>
      </c>
      <c r="C4733" s="10" t="s">
        <v>26</v>
      </c>
      <c r="D4733" s="10" t="s">
        <v>1</v>
      </c>
      <c r="E4733" s="15">
        <f>2.33-0.045</f>
        <v>2.2850000000000001</v>
      </c>
    </row>
    <row r="4734" spans="1:5" x14ac:dyDescent="0.3">
      <c r="A4734" s="10">
        <v>406</v>
      </c>
      <c r="B4734" s="10">
        <v>22</v>
      </c>
      <c r="C4734" s="10" t="s">
        <v>26</v>
      </c>
      <c r="D4734" s="10" t="s">
        <v>1</v>
      </c>
      <c r="E4734" s="15">
        <f>7.91-0.063-4.049-1.37+2+2.5-0.913-0.162-0.428+20.394-0.279-0.219-0.181-2.285</f>
        <v>22.854999999999997</v>
      </c>
    </row>
    <row r="4735" spans="1:5" x14ac:dyDescent="0.3">
      <c r="A4735" s="10">
        <v>406</v>
      </c>
      <c r="B4735" s="10">
        <v>24</v>
      </c>
      <c r="C4735" s="10" t="s">
        <v>123</v>
      </c>
      <c r="D4735" s="10" t="s">
        <v>1</v>
      </c>
      <c r="E4735" s="15">
        <f>2.27-0.225-0.484</f>
        <v>1.5609999999999999</v>
      </c>
    </row>
    <row r="4736" spans="1:5" x14ac:dyDescent="0.3">
      <c r="A4736" s="10">
        <v>406</v>
      </c>
      <c r="B4736" s="10">
        <v>25</v>
      </c>
      <c r="C4736" s="10">
        <v>20</v>
      </c>
      <c r="D4736" s="10" t="s">
        <v>1</v>
      </c>
      <c r="E4736" s="15">
        <f>2.58+2.698-0.151-0.366-0.481-0.647</f>
        <v>3.6330000000000009</v>
      </c>
    </row>
    <row r="4737" spans="1:5" x14ac:dyDescent="0.3">
      <c r="A4737" s="10">
        <v>406</v>
      </c>
      <c r="B4737" s="10">
        <v>25</v>
      </c>
      <c r="C4737" s="10" t="s">
        <v>26</v>
      </c>
      <c r="D4737" s="10" t="s">
        <v>1</v>
      </c>
      <c r="E4737" s="15">
        <f>2.496-0.251+4.989-0.21</f>
        <v>7.024</v>
      </c>
    </row>
    <row r="4738" spans="1:5" x14ac:dyDescent="0.3">
      <c r="A4738" s="10">
        <v>406</v>
      </c>
      <c r="B4738" s="10">
        <v>26</v>
      </c>
      <c r="C4738" s="10">
        <v>20</v>
      </c>
      <c r="D4738" s="10" t="s">
        <v>1</v>
      </c>
      <c r="E4738" s="15">
        <f>15.866-0.798</f>
        <v>15.068</v>
      </c>
    </row>
    <row r="4739" spans="1:5" x14ac:dyDescent="0.3">
      <c r="A4739" s="10">
        <v>406</v>
      </c>
      <c r="B4739" s="10">
        <v>28</v>
      </c>
      <c r="C4739" s="10" t="s">
        <v>26</v>
      </c>
      <c r="D4739" s="10" t="s">
        <v>1</v>
      </c>
      <c r="E4739" s="15">
        <f>9.707+12.395+0.95</f>
        <v>23.052</v>
      </c>
    </row>
    <row r="4740" spans="1:5" x14ac:dyDescent="0.3">
      <c r="A4740" s="8">
        <v>406</v>
      </c>
      <c r="B4740" s="8">
        <v>30</v>
      </c>
      <c r="C4740" s="8">
        <v>20</v>
      </c>
      <c r="D4740" s="8" t="s">
        <v>1</v>
      </c>
      <c r="E4740" s="9">
        <f>4.935+2.728+2.568</f>
        <v>10.231</v>
      </c>
    </row>
    <row r="4741" spans="1:5" x14ac:dyDescent="0.3">
      <c r="A4741" s="10">
        <v>406</v>
      </c>
      <c r="B4741" s="10">
        <v>30</v>
      </c>
      <c r="C4741" s="10" t="s">
        <v>26</v>
      </c>
      <c r="D4741" s="10" t="s">
        <v>1</v>
      </c>
      <c r="E4741" s="15">
        <f>5.288+2.74+2.568-0.87-0.269</f>
        <v>9.4570000000000007</v>
      </c>
    </row>
    <row r="4742" spans="1:5" x14ac:dyDescent="0.3">
      <c r="A4742" s="10">
        <v>406</v>
      </c>
      <c r="B4742" s="10">
        <v>32</v>
      </c>
      <c r="C4742" s="10" t="s">
        <v>28</v>
      </c>
      <c r="D4742" s="10" t="s">
        <v>1</v>
      </c>
      <c r="E4742" s="15">
        <f>9.849-0.441-1.123-1.789-0.34-0.111-0.211-1.539-0.199-0.621-0.062-2.263+8.644-0.716</f>
        <v>9.0780000000000012</v>
      </c>
    </row>
    <row r="4743" spans="1:5" x14ac:dyDescent="0.3">
      <c r="A4743" s="10">
        <v>406</v>
      </c>
      <c r="B4743" s="10">
        <v>36</v>
      </c>
      <c r="C4743" s="10">
        <v>20</v>
      </c>
      <c r="D4743" s="10" t="s">
        <v>1</v>
      </c>
      <c r="E4743" s="15">
        <f>2.8+2.478</f>
        <v>5.2780000000000005</v>
      </c>
    </row>
    <row r="4744" spans="1:5" x14ac:dyDescent="0.3">
      <c r="A4744" s="10">
        <v>406</v>
      </c>
      <c r="B4744" s="10">
        <v>36</v>
      </c>
      <c r="C4744" s="10" t="s">
        <v>26</v>
      </c>
      <c r="D4744" s="10" t="s">
        <v>1</v>
      </c>
      <c r="E4744" s="15">
        <f>2.722+2.824-0.677-2.088</f>
        <v>2.7809999999999997</v>
      </c>
    </row>
    <row r="4745" spans="1:5" x14ac:dyDescent="0.3">
      <c r="A4745" s="10">
        <v>406</v>
      </c>
      <c r="B4745" s="10">
        <v>40</v>
      </c>
      <c r="C4745" s="10">
        <v>20</v>
      </c>
      <c r="D4745" s="10" t="s">
        <v>1</v>
      </c>
      <c r="E4745" s="15">
        <f>2.775-0.537-1.477-0.236+3.61-0.254-0.746-0.749-0.32-0.14</f>
        <v>1.9259999999999997</v>
      </c>
    </row>
    <row r="4746" spans="1:5" x14ac:dyDescent="0.3">
      <c r="A4746" s="8">
        <v>406</v>
      </c>
      <c r="B4746" s="8">
        <v>40</v>
      </c>
      <c r="C4746" s="8">
        <v>20</v>
      </c>
      <c r="D4746" s="8" t="s">
        <v>1</v>
      </c>
      <c r="E4746" s="9">
        <v>5</v>
      </c>
    </row>
    <row r="4747" spans="1:5" x14ac:dyDescent="0.3">
      <c r="A4747" s="10">
        <v>406</v>
      </c>
      <c r="B4747" s="10">
        <v>45</v>
      </c>
      <c r="C4747" s="10">
        <v>20</v>
      </c>
      <c r="D4747" s="10" t="s">
        <v>1</v>
      </c>
      <c r="E4747" s="15">
        <f>2.6+2.826</f>
        <v>5.4260000000000002</v>
      </c>
    </row>
    <row r="4748" spans="1:5" x14ac:dyDescent="0.3">
      <c r="A4748" s="10">
        <v>406</v>
      </c>
      <c r="B4748" s="10">
        <v>45</v>
      </c>
      <c r="C4748" s="10" t="s">
        <v>26</v>
      </c>
      <c r="D4748" s="10" t="s">
        <v>1</v>
      </c>
      <c r="E4748" s="15">
        <f>8.663-0.431-2.082-0.882-0.824-2.148-0.21-0.23+7.748+2.706-1.664-1.242-0.128</f>
        <v>9.2760000000000034</v>
      </c>
    </row>
    <row r="4749" spans="1:5" x14ac:dyDescent="0.3">
      <c r="A4749" s="10">
        <v>406</v>
      </c>
      <c r="B4749" s="10">
        <v>50</v>
      </c>
      <c r="C4749" s="10">
        <v>20</v>
      </c>
      <c r="D4749" s="10" t="s">
        <v>1</v>
      </c>
      <c r="E4749" s="15">
        <f>4.983+5.97-0.093-1.707</f>
        <v>9.1529999999999987</v>
      </c>
    </row>
    <row r="4750" spans="1:5" x14ac:dyDescent="0.3">
      <c r="A4750" s="10">
        <v>406</v>
      </c>
      <c r="B4750" s="10">
        <v>50</v>
      </c>
      <c r="C4750" s="10" t="s">
        <v>26</v>
      </c>
      <c r="D4750" s="10" t="s">
        <v>1</v>
      </c>
      <c r="E4750" s="15">
        <v>5.4420000000000002</v>
      </c>
    </row>
    <row r="4751" spans="1:5" x14ac:dyDescent="0.3">
      <c r="A4751" s="10">
        <v>406</v>
      </c>
      <c r="B4751" s="10">
        <v>50</v>
      </c>
      <c r="C4751" s="10">
        <v>45</v>
      </c>
      <c r="D4751" s="10" t="s">
        <v>1</v>
      </c>
      <c r="E4751" s="15">
        <f>6.02-0.506-0.638</f>
        <v>4.8759999999999994</v>
      </c>
    </row>
    <row r="4752" spans="1:5" x14ac:dyDescent="0.3">
      <c r="A4752" s="8">
        <v>406</v>
      </c>
      <c r="B4752" s="8">
        <v>56</v>
      </c>
      <c r="C4752" s="8" t="s">
        <v>26</v>
      </c>
      <c r="D4752" s="8" t="s">
        <v>1</v>
      </c>
      <c r="E4752" s="9">
        <f>8.866-1.906+3.378-3.438-0.097-0.141</f>
        <v>6.6619999999999999</v>
      </c>
    </row>
    <row r="4753" spans="1:5" x14ac:dyDescent="0.3">
      <c r="A4753" s="10">
        <v>406</v>
      </c>
      <c r="B4753" s="10">
        <v>57</v>
      </c>
      <c r="C4753" s="10" t="s">
        <v>28</v>
      </c>
      <c r="D4753" s="10" t="s">
        <v>1</v>
      </c>
      <c r="E4753" s="15">
        <f>10.525-1.514-0.109-1.571-2.116</f>
        <v>5.2150000000000016</v>
      </c>
    </row>
    <row r="4754" spans="1:5" x14ac:dyDescent="0.3">
      <c r="A4754" s="10">
        <v>406</v>
      </c>
      <c r="B4754" s="10">
        <v>60</v>
      </c>
      <c r="C4754" s="10">
        <v>20</v>
      </c>
      <c r="D4754" s="10" t="s">
        <v>1</v>
      </c>
      <c r="E4754" s="15">
        <f>2.49+2.608-0.263</f>
        <v>4.8350000000000009</v>
      </c>
    </row>
    <row r="4755" spans="1:5" x14ac:dyDescent="0.3">
      <c r="A4755" s="8">
        <v>406</v>
      </c>
      <c r="B4755" s="8">
        <v>60</v>
      </c>
      <c r="C4755" s="8" t="s">
        <v>26</v>
      </c>
      <c r="D4755" s="8" t="s">
        <v>1</v>
      </c>
      <c r="E4755" s="9">
        <f>9.134+2.484+2.458+2.604</f>
        <v>16.68</v>
      </c>
    </row>
    <row r="4756" spans="1:5" x14ac:dyDescent="0.3">
      <c r="A4756" s="8">
        <v>406</v>
      </c>
      <c r="B4756" s="8">
        <v>63</v>
      </c>
      <c r="C4756" s="8" t="s">
        <v>28</v>
      </c>
      <c r="D4756" s="8" t="s">
        <v>1</v>
      </c>
      <c r="E4756" s="9">
        <f>4.3+4.248+4.36-0.237-4.104-0.425-4.367</f>
        <v>3.7749999999999995</v>
      </c>
    </row>
    <row r="4757" spans="1:5" x14ac:dyDescent="0.3">
      <c r="A4757" s="8">
        <v>406</v>
      </c>
      <c r="B4757" s="8">
        <v>63</v>
      </c>
      <c r="C4757" s="8" t="s">
        <v>30</v>
      </c>
      <c r="D4757" s="8" t="s">
        <v>1</v>
      </c>
      <c r="E4757" s="9">
        <f>10.684-3.68+3.68-0.48-1.641-0.092</f>
        <v>8.4709999999999983</v>
      </c>
    </row>
    <row r="4758" spans="1:5" x14ac:dyDescent="0.3">
      <c r="A4758" s="8">
        <v>406</v>
      </c>
      <c r="B4758" s="8">
        <v>75</v>
      </c>
      <c r="C4758" s="8" t="s">
        <v>28</v>
      </c>
      <c r="D4758" s="8" t="s">
        <v>1</v>
      </c>
      <c r="E4758" s="9">
        <f>5.658-1.888-0.212</f>
        <v>3.5580000000000003</v>
      </c>
    </row>
    <row r="4759" spans="1:5" x14ac:dyDescent="0.3">
      <c r="A4759" s="8">
        <v>406</v>
      </c>
      <c r="B4759" s="8">
        <v>75</v>
      </c>
      <c r="C4759" s="8" t="s">
        <v>28</v>
      </c>
      <c r="D4759" s="8" t="s">
        <v>1</v>
      </c>
      <c r="E4759" s="9">
        <f>11.314-5.658</f>
        <v>5.6559999999999997</v>
      </c>
    </row>
    <row r="4760" spans="1:5" x14ac:dyDescent="0.3">
      <c r="A4760" s="8">
        <v>406</v>
      </c>
      <c r="B4760" s="8">
        <v>95</v>
      </c>
      <c r="C4760" s="8">
        <v>20</v>
      </c>
      <c r="D4760" s="8" t="s">
        <v>1</v>
      </c>
      <c r="E4760" s="9">
        <v>5</v>
      </c>
    </row>
    <row r="4761" spans="1:5" x14ac:dyDescent="0.3">
      <c r="A4761" s="8">
        <v>406</v>
      </c>
      <c r="B4761" s="8">
        <v>95</v>
      </c>
      <c r="C4761" s="8">
        <v>45</v>
      </c>
      <c r="D4761" s="8" t="s">
        <v>1</v>
      </c>
      <c r="E4761" s="9">
        <v>5</v>
      </c>
    </row>
    <row r="4762" spans="1:5" x14ac:dyDescent="0.3">
      <c r="A4762" s="10">
        <v>406.4</v>
      </c>
      <c r="B4762" s="10">
        <v>19</v>
      </c>
      <c r="C4762" s="10" t="s">
        <v>91</v>
      </c>
      <c r="D4762" s="10" t="s">
        <v>92</v>
      </c>
      <c r="E4762" s="15">
        <v>2.214</v>
      </c>
    </row>
    <row r="4763" spans="1:5" x14ac:dyDescent="0.3">
      <c r="A4763" s="10">
        <v>406.4</v>
      </c>
      <c r="B4763" s="10">
        <v>26.19</v>
      </c>
      <c r="C4763" s="10" t="s">
        <v>113</v>
      </c>
      <c r="D4763" s="10" t="s">
        <v>114</v>
      </c>
      <c r="E4763" s="15">
        <v>2.8879999999999999</v>
      </c>
    </row>
    <row r="4764" spans="1:5" x14ac:dyDescent="0.3">
      <c r="A4764" s="8">
        <v>419</v>
      </c>
      <c r="B4764" s="12">
        <v>22</v>
      </c>
      <c r="C4764" s="8">
        <v>20</v>
      </c>
      <c r="D4764" s="8" t="s">
        <v>1</v>
      </c>
      <c r="E4764" s="9">
        <f>0.414-0.067-0.061-0.225+0.002</f>
        <v>6.2999999999999973E-2</v>
      </c>
    </row>
    <row r="4765" spans="1:5" x14ac:dyDescent="0.3">
      <c r="A4765" s="10">
        <v>426</v>
      </c>
      <c r="B4765" s="10">
        <v>5</v>
      </c>
      <c r="C4765" s="10">
        <v>20</v>
      </c>
      <c r="D4765" s="10" t="s">
        <v>7</v>
      </c>
      <c r="E4765" s="15">
        <f>1.071-0.024-0.536-0.055-0.087+0.353-0.035+1.163-0.108-0.329-0.265-0.028-0.32-0.025-0.133+0.602-0.08</f>
        <v>1.1639999999999995</v>
      </c>
    </row>
    <row r="4766" spans="1:5" x14ac:dyDescent="0.3">
      <c r="A4766" s="10">
        <v>426</v>
      </c>
      <c r="B4766" s="10">
        <v>5</v>
      </c>
      <c r="C4766" s="10" t="s">
        <v>26</v>
      </c>
      <c r="D4766" s="10" t="s">
        <v>7</v>
      </c>
      <c r="E4766" s="15">
        <f>0.62+0.293-0.03-0.086-0.046+1.891-2.51</f>
        <v>0.13200000000000012</v>
      </c>
    </row>
    <row r="4767" spans="1:5" x14ac:dyDescent="0.3">
      <c r="A4767" s="10">
        <v>426</v>
      </c>
      <c r="B4767" s="10">
        <v>5</v>
      </c>
      <c r="C4767" s="10" t="s">
        <v>26</v>
      </c>
      <c r="D4767" s="10" t="s">
        <v>7</v>
      </c>
      <c r="E4767" s="15">
        <f>2.51-0.161-0.173-0.035-0.092-0.056</f>
        <v>1.9929999999999994</v>
      </c>
    </row>
    <row r="4768" spans="1:5" x14ac:dyDescent="0.3">
      <c r="A4768" s="10">
        <v>426</v>
      </c>
      <c r="B4768" s="10">
        <v>6</v>
      </c>
      <c r="C4768" s="10">
        <v>20</v>
      </c>
      <c r="D4768" s="10" t="s">
        <v>7</v>
      </c>
      <c r="E4768" s="15">
        <f>1.172+1.118-0.142+0.497-0.083-0.034-0.11-0.019-0.156-0.054-0.204-0.066-0.098-0.035-0.077-0.103-0.057-0.066+0.87-0.041</f>
        <v>2.3120000000000003</v>
      </c>
    </row>
    <row r="4769" spans="1:5" x14ac:dyDescent="0.3">
      <c r="A4769" s="10">
        <v>426</v>
      </c>
      <c r="B4769" s="10">
        <v>6</v>
      </c>
      <c r="C4769" s="10" t="s">
        <v>26</v>
      </c>
      <c r="D4769" s="10" t="s">
        <v>7</v>
      </c>
      <c r="E4769" s="15">
        <f>0.746+0.746-0.035</f>
        <v>1.4570000000000001</v>
      </c>
    </row>
    <row r="4770" spans="1:5" x14ac:dyDescent="0.3">
      <c r="A4770" s="10">
        <v>426</v>
      </c>
      <c r="B4770" s="10">
        <v>6</v>
      </c>
      <c r="C4770" s="10" t="s">
        <v>52</v>
      </c>
      <c r="D4770" s="10" t="s">
        <v>185</v>
      </c>
      <c r="E4770" s="15">
        <v>0.752</v>
      </c>
    </row>
    <row r="4771" spans="1:5" x14ac:dyDescent="0.3">
      <c r="A4771" s="10">
        <v>426</v>
      </c>
      <c r="B4771" s="10">
        <v>7</v>
      </c>
      <c r="C4771" s="10">
        <v>20</v>
      </c>
      <c r="D4771" s="10" t="s">
        <v>22</v>
      </c>
      <c r="E4771" s="15">
        <f>0.94-0.071-0.253-0.087</f>
        <v>0.52900000000000003</v>
      </c>
    </row>
    <row r="4772" spans="1:5" x14ac:dyDescent="0.3">
      <c r="A4772" s="10">
        <v>426</v>
      </c>
      <c r="B4772" s="10">
        <v>7</v>
      </c>
      <c r="C4772" s="10">
        <v>20</v>
      </c>
      <c r="D4772" s="10" t="s">
        <v>7</v>
      </c>
      <c r="E4772" s="15">
        <f>4.14+1.683+0.542</f>
        <v>6.3649999999999993</v>
      </c>
    </row>
    <row r="4773" spans="1:5" x14ac:dyDescent="0.3">
      <c r="A4773" s="10">
        <v>426</v>
      </c>
      <c r="B4773" s="10">
        <v>7</v>
      </c>
      <c r="C4773" s="10" t="s">
        <v>26</v>
      </c>
      <c r="D4773" s="10" t="s">
        <v>7</v>
      </c>
      <c r="E4773" s="15">
        <f>0.868+1.048-0.077-0.077+0.47+0.561+0.561</f>
        <v>3.3540000000000001</v>
      </c>
    </row>
    <row r="4774" spans="1:5" x14ac:dyDescent="0.3">
      <c r="A4774" s="10">
        <v>426</v>
      </c>
      <c r="B4774" s="10">
        <v>7</v>
      </c>
      <c r="C4774" s="10" t="s">
        <v>21</v>
      </c>
      <c r="D4774" s="10" t="s">
        <v>7</v>
      </c>
      <c r="E4774" s="15">
        <v>0.45200000000000001</v>
      </c>
    </row>
    <row r="4775" spans="1:5" x14ac:dyDescent="0.3">
      <c r="A4775" s="10">
        <v>426</v>
      </c>
      <c r="B4775" s="10">
        <v>8</v>
      </c>
      <c r="C4775" s="10">
        <v>20</v>
      </c>
      <c r="D4775" s="10" t="s">
        <v>7</v>
      </c>
      <c r="E4775" s="15">
        <f>1.003+1.947-0.069-0.088-0.222-0.255-0.295-0.045-0.339-0.088-0.339-0.026-0.339-0.288-0.297-0.085+0.536+0.639-0.087-0.14</f>
        <v>1.1230000000000007</v>
      </c>
    </row>
    <row r="4776" spans="1:5" x14ac:dyDescent="0.3">
      <c r="A4776" s="10">
        <v>426</v>
      </c>
      <c r="B4776" s="10">
        <v>8</v>
      </c>
      <c r="C4776" s="10">
        <v>20</v>
      </c>
      <c r="D4776" s="10" t="s">
        <v>22</v>
      </c>
      <c r="E4776" s="15">
        <f>0.882+1.815</f>
        <v>2.6970000000000001</v>
      </c>
    </row>
    <row r="4777" spans="1:5" x14ac:dyDescent="0.3">
      <c r="A4777" s="10">
        <v>426</v>
      </c>
      <c r="B4777" s="10">
        <v>8</v>
      </c>
      <c r="C4777" s="10" t="s">
        <v>26</v>
      </c>
      <c r="D4777" s="10" t="s">
        <v>7</v>
      </c>
      <c r="E4777" s="15">
        <f>0.766+0.99+0.619+1.155-0.544-0.357</f>
        <v>2.6290000000000004</v>
      </c>
    </row>
    <row r="4778" spans="1:5" x14ac:dyDescent="0.3">
      <c r="A4778" s="10">
        <v>426</v>
      </c>
      <c r="B4778" s="10">
        <v>8</v>
      </c>
      <c r="C4778" s="8" t="s">
        <v>104</v>
      </c>
      <c r="D4778" s="8" t="s">
        <v>7</v>
      </c>
      <c r="E4778" s="15">
        <f>0.99-0.625</f>
        <v>0.36499999999999999</v>
      </c>
    </row>
    <row r="4779" spans="1:5" x14ac:dyDescent="0.3">
      <c r="A4779" s="10">
        <v>426</v>
      </c>
      <c r="B4779" s="10">
        <v>8</v>
      </c>
      <c r="C4779" s="10" t="s">
        <v>37</v>
      </c>
      <c r="D4779" s="10" t="s">
        <v>7</v>
      </c>
      <c r="E4779" s="15">
        <f>0.976+1.001-0.087-0.473-0.147-0.085</f>
        <v>1.1849999999999998</v>
      </c>
    </row>
    <row r="4780" spans="1:5" x14ac:dyDescent="0.3">
      <c r="A4780" s="10">
        <v>426</v>
      </c>
      <c r="B4780" s="10">
        <v>9</v>
      </c>
      <c r="C4780" s="10">
        <v>20</v>
      </c>
      <c r="D4780" s="10" t="s">
        <v>7</v>
      </c>
      <c r="E4780" s="15">
        <f>0.93-0.065-0.1+2.258-0.262-0.145-0.077-0.052-0.191-0.144-0.403-1.165-0.103-0.36+1.999</f>
        <v>2.12</v>
      </c>
    </row>
    <row r="4781" spans="1:5" x14ac:dyDescent="0.3">
      <c r="A4781" s="10">
        <v>426</v>
      </c>
      <c r="B4781" s="10">
        <v>9</v>
      </c>
      <c r="C4781" s="10">
        <v>20</v>
      </c>
      <c r="D4781" s="10" t="s">
        <v>7</v>
      </c>
      <c r="E4781" s="15">
        <f>0.452-0.05-0.067-0.173-0.101+1.434</f>
        <v>1.4949999999999999</v>
      </c>
    </row>
    <row r="4782" spans="1:5" x14ac:dyDescent="0.3">
      <c r="A4782" s="8">
        <v>426</v>
      </c>
      <c r="B4782" s="8">
        <v>9</v>
      </c>
      <c r="C4782" s="10">
        <v>20</v>
      </c>
      <c r="D4782" s="10" t="s">
        <v>8</v>
      </c>
      <c r="E4782" s="9">
        <f>0.92+0.424-0.07-0.146-0.113-0.167</f>
        <v>0.84800000000000009</v>
      </c>
    </row>
    <row r="4783" spans="1:5" x14ac:dyDescent="0.3">
      <c r="A4783" s="10">
        <v>426</v>
      </c>
      <c r="B4783" s="10">
        <v>9</v>
      </c>
      <c r="C4783" s="10" t="s">
        <v>26</v>
      </c>
      <c r="D4783" s="10" t="s">
        <v>7</v>
      </c>
      <c r="E4783" s="15">
        <f>0.879-0.107-0.197+1.268-0.579-0.286-0.379-0.155-0.125+1.795+0.879+0.833-0.044-0.097-0.207-0.239-0.189-0.144+6.916+3.148+4.697+4.789-0.115-0.023</f>
        <v>22.317999999999998</v>
      </c>
    </row>
    <row r="4784" spans="1:5" x14ac:dyDescent="0.3">
      <c r="A4784" s="10">
        <v>426</v>
      </c>
      <c r="B4784" s="10">
        <v>9</v>
      </c>
      <c r="C4784" s="10" t="s">
        <v>26</v>
      </c>
      <c r="D4784" s="10" t="s">
        <v>1</v>
      </c>
      <c r="E4784" s="15">
        <f>0.233-0.058-0.029+0.001</f>
        <v>0.14700000000000002</v>
      </c>
    </row>
    <row r="4785" spans="1:5" x14ac:dyDescent="0.3">
      <c r="A4785" s="10">
        <v>426</v>
      </c>
      <c r="B4785" s="10">
        <v>9</v>
      </c>
      <c r="C4785" s="10" t="s">
        <v>26</v>
      </c>
      <c r="D4785" s="10" t="s">
        <v>1</v>
      </c>
      <c r="E4785" s="15">
        <f>4.79-0.131-0.48-0.068+0.64+1.248+0.778-0.103-0.615-0.057-0.201-0.201-0.181-0.28-0.171-0.104-0.17-0.103-0.201-0.103-0.293-0.152-0.317-0.181-0.103-0.147-0.062-0.054-0.018-0.532-0.03-0.228-0.081-0.152-0.082-0.084-0.203-0.293-0.152-0.132-0.446-0.066-0.206</f>
        <v>0.27300000000000169</v>
      </c>
    </row>
    <row r="4786" spans="1:5" x14ac:dyDescent="0.3">
      <c r="A4786" s="10">
        <v>426</v>
      </c>
      <c r="B4786" s="10">
        <v>9</v>
      </c>
      <c r="C4786" s="10" t="s">
        <v>52</v>
      </c>
      <c r="D4786" s="10" t="s">
        <v>7</v>
      </c>
      <c r="E4786" s="15">
        <f>2.246-0.059</f>
        <v>2.1869999999999998</v>
      </c>
    </row>
    <row r="4787" spans="1:5" x14ac:dyDescent="0.3">
      <c r="A4787" s="10">
        <v>426</v>
      </c>
      <c r="B4787" s="10">
        <v>9</v>
      </c>
      <c r="C4787" s="10" t="s">
        <v>37</v>
      </c>
      <c r="D4787" s="10" t="s">
        <v>1</v>
      </c>
      <c r="E4787" s="15">
        <v>0.626</v>
      </c>
    </row>
    <row r="4788" spans="1:5" x14ac:dyDescent="0.3">
      <c r="A4788" s="10">
        <v>426</v>
      </c>
      <c r="B4788" s="10">
        <v>10</v>
      </c>
      <c r="C4788" s="10">
        <v>20</v>
      </c>
      <c r="D4788" s="10" t="s">
        <v>7</v>
      </c>
      <c r="E4788" s="15">
        <f>1.826+0.718-0.059-0.367-0.107-0.205-0.129-0.058-0.71-0.317+0.698+0.975+1.539+0.759+0.616+1.462+1.41-0.026-0.213</f>
        <v>7.8119999999999985</v>
      </c>
    </row>
    <row r="4789" spans="1:5" x14ac:dyDescent="0.3">
      <c r="A4789" s="10">
        <v>426</v>
      </c>
      <c r="B4789" s="10">
        <v>10</v>
      </c>
      <c r="C4789" s="10">
        <v>20</v>
      </c>
      <c r="D4789" s="10" t="s">
        <v>8</v>
      </c>
      <c r="E4789" s="15">
        <v>0.80500000000000005</v>
      </c>
    </row>
    <row r="4790" spans="1:5" x14ac:dyDescent="0.3">
      <c r="A4790" s="10">
        <v>426</v>
      </c>
      <c r="B4790" s="10">
        <v>10</v>
      </c>
      <c r="C4790" s="10" t="s">
        <v>26</v>
      </c>
      <c r="D4790" s="10" t="s">
        <v>7</v>
      </c>
      <c r="E4790" s="15">
        <f>3.022-0.141-0.675-0.966+2.277-0.369-0.628-0.197-0.213-0.143-0.766-0.627-0.347+2.462+0.744-0.13-0.213</f>
        <v>3.09</v>
      </c>
    </row>
    <row r="4791" spans="1:5" x14ac:dyDescent="0.3">
      <c r="A4791" s="10">
        <v>426</v>
      </c>
      <c r="B4791" s="10">
        <v>10</v>
      </c>
      <c r="C4791" s="10" t="s">
        <v>26</v>
      </c>
      <c r="D4791" s="10" t="s">
        <v>1</v>
      </c>
      <c r="E4791" s="15">
        <f>3.387-0.213-0.317+0.025-0.058-0.047-0.109+0.64-0.045+1.332-0.107-0.483+0.662+2.37-0.025-0.13-0.662-0.053-0.213-0.068-0.247+0.03-0.016-0.068-0.078-0.265-0.022-0.118-0.058-0.088-0.228-0.095-0.213-0.049-0.213-0.12-0.108-0.178-0.108-0.033-0.436-0.051+1.342+1.346-0.073+0.622+13.586+5.61+0.802+0.814+0.678+9.816</f>
        <v>37.667000000000002</v>
      </c>
    </row>
    <row r="4792" spans="1:5" x14ac:dyDescent="0.3">
      <c r="A4792" s="10">
        <v>426</v>
      </c>
      <c r="B4792" s="10">
        <v>10</v>
      </c>
      <c r="C4792" s="10" t="s">
        <v>26</v>
      </c>
      <c r="D4792" s="10" t="s">
        <v>70</v>
      </c>
      <c r="E4792" s="15">
        <v>0.97499999999999998</v>
      </c>
    </row>
    <row r="4793" spans="1:5" x14ac:dyDescent="0.3">
      <c r="A4793" s="10">
        <v>426</v>
      </c>
      <c r="B4793" s="10">
        <v>10</v>
      </c>
      <c r="C4793" s="10" t="s">
        <v>37</v>
      </c>
      <c r="D4793" s="10" t="s">
        <v>7</v>
      </c>
      <c r="E4793" s="15">
        <f>0.748-0.05+0.544-0.115-0.151-0.223</f>
        <v>0.753</v>
      </c>
    </row>
    <row r="4794" spans="1:5" x14ac:dyDescent="0.3">
      <c r="A4794" s="10">
        <v>426</v>
      </c>
      <c r="B4794" s="10">
        <v>11</v>
      </c>
      <c r="C4794" s="10">
        <v>20</v>
      </c>
      <c r="D4794" s="10" t="s">
        <v>7</v>
      </c>
      <c r="E4794" s="15">
        <f>2.476+10.692+1.548</f>
        <v>14.715999999999999</v>
      </c>
    </row>
    <row r="4795" spans="1:5" x14ac:dyDescent="0.3">
      <c r="A4795" s="8">
        <v>426</v>
      </c>
      <c r="B4795" s="8">
        <v>11</v>
      </c>
      <c r="C4795" s="8">
        <v>20</v>
      </c>
      <c r="D4795" s="8" t="s">
        <v>1</v>
      </c>
      <c r="E4795" s="9">
        <v>3.6819999999999999</v>
      </c>
    </row>
    <row r="4796" spans="1:5" x14ac:dyDescent="0.3">
      <c r="A4796" s="8">
        <v>426</v>
      </c>
      <c r="B4796" s="8">
        <v>11</v>
      </c>
      <c r="C4796" s="8" t="s">
        <v>26</v>
      </c>
      <c r="D4796" s="8" t="s">
        <v>7</v>
      </c>
      <c r="E4796" s="15">
        <v>2.702</v>
      </c>
    </row>
    <row r="4797" spans="1:5" x14ac:dyDescent="0.3">
      <c r="A4797" s="8">
        <v>426</v>
      </c>
      <c r="B4797" s="8">
        <v>11</v>
      </c>
      <c r="C4797" s="8" t="s">
        <v>26</v>
      </c>
      <c r="D4797" s="8" t="s">
        <v>1</v>
      </c>
      <c r="E4797" s="9">
        <f>0.734+1.174-0.432-0.118-0.287-0.074-0.112-0.232-0.176</f>
        <v>0.47700000000000026</v>
      </c>
    </row>
    <row r="4798" spans="1:5" x14ac:dyDescent="0.3">
      <c r="A4798" s="8">
        <v>426</v>
      </c>
      <c r="B4798" s="8">
        <v>12</v>
      </c>
      <c r="C4798" s="8">
        <v>20</v>
      </c>
      <c r="D4798" s="8" t="s">
        <v>7</v>
      </c>
      <c r="E4798" s="15">
        <f>1.164+0.858</f>
        <v>2.0219999999999998</v>
      </c>
    </row>
    <row r="4799" spans="1:5" x14ac:dyDescent="0.3">
      <c r="A4799" s="10">
        <v>426</v>
      </c>
      <c r="B4799" s="10">
        <v>12</v>
      </c>
      <c r="C4799" s="10">
        <v>20</v>
      </c>
      <c r="D4799" s="10" t="s">
        <v>1</v>
      </c>
      <c r="E4799" s="15">
        <f>1.476+2.36+0.788+2.764</f>
        <v>7.3879999999999999</v>
      </c>
    </row>
    <row r="4800" spans="1:5" x14ac:dyDescent="0.3">
      <c r="A4800" s="10">
        <v>426</v>
      </c>
      <c r="B4800" s="10">
        <v>12</v>
      </c>
      <c r="C4800" s="10" t="s">
        <v>26</v>
      </c>
      <c r="D4800" s="10" t="s">
        <v>7</v>
      </c>
      <c r="E4800" s="15">
        <f>0.827+0.95-0.075</f>
        <v>1.702</v>
      </c>
    </row>
    <row r="4801" spans="1:5" x14ac:dyDescent="0.3">
      <c r="A4801" s="10">
        <v>426</v>
      </c>
      <c r="B4801" s="10">
        <v>12</v>
      </c>
      <c r="C4801" s="10" t="s">
        <v>26</v>
      </c>
      <c r="D4801" s="10" t="s">
        <v>1</v>
      </c>
      <c r="E4801" s="15">
        <f>5.206+2.048+1.008+2.718+2.074+10.468</f>
        <v>23.521999999999998</v>
      </c>
    </row>
    <row r="4802" spans="1:5" x14ac:dyDescent="0.3">
      <c r="A4802" s="10">
        <v>426</v>
      </c>
      <c r="B4802" s="10">
        <v>12</v>
      </c>
      <c r="C4802" s="10" t="s">
        <v>26</v>
      </c>
      <c r="D4802" s="10" t="s">
        <v>1</v>
      </c>
      <c r="E4802" s="15">
        <v>2.5790000000000002</v>
      </c>
    </row>
    <row r="4803" spans="1:5" x14ac:dyDescent="0.3">
      <c r="A4803" s="10">
        <v>426</v>
      </c>
      <c r="B4803" s="10">
        <v>12</v>
      </c>
      <c r="C4803" s="10" t="s">
        <v>26</v>
      </c>
      <c r="D4803" s="10" t="s">
        <v>64</v>
      </c>
      <c r="E4803" s="15">
        <f>1.178+2.52</f>
        <v>3.698</v>
      </c>
    </row>
    <row r="4804" spans="1:5" x14ac:dyDescent="0.3">
      <c r="A4804" s="8">
        <v>426</v>
      </c>
      <c r="B4804" s="8">
        <v>12</v>
      </c>
      <c r="C4804" s="8" t="s">
        <v>26</v>
      </c>
      <c r="D4804" s="8" t="s">
        <v>64</v>
      </c>
      <c r="E4804" s="9">
        <f>6.586-1.178</f>
        <v>5.4080000000000004</v>
      </c>
    </row>
    <row r="4805" spans="1:5" x14ac:dyDescent="0.3">
      <c r="A4805" s="10">
        <v>426</v>
      </c>
      <c r="B4805" s="10">
        <v>12</v>
      </c>
      <c r="C4805" s="10" t="s">
        <v>48</v>
      </c>
      <c r="D4805" s="10" t="s">
        <v>7</v>
      </c>
      <c r="E4805" s="15">
        <v>0.39700000000000002</v>
      </c>
    </row>
    <row r="4806" spans="1:5" x14ac:dyDescent="0.3">
      <c r="A4806" s="10">
        <v>426</v>
      </c>
      <c r="B4806" s="10">
        <v>12</v>
      </c>
      <c r="C4806" s="10" t="s">
        <v>37</v>
      </c>
      <c r="D4806" s="10" t="s">
        <v>7</v>
      </c>
      <c r="E4806" s="15">
        <f>1.275+1.486-0.374+0.002-0.092-0.155-0.091-0.211-0.376-1.275</f>
        <v>0.18899999999999961</v>
      </c>
    </row>
    <row r="4807" spans="1:5" x14ac:dyDescent="0.3">
      <c r="A4807" s="10">
        <v>426</v>
      </c>
      <c r="B4807" s="10">
        <v>12</v>
      </c>
      <c r="C4807" s="10" t="s">
        <v>37</v>
      </c>
      <c r="D4807" s="10" t="s">
        <v>186</v>
      </c>
      <c r="E4807" s="15">
        <v>2.56</v>
      </c>
    </row>
    <row r="4808" spans="1:5" x14ac:dyDescent="0.3">
      <c r="A4808" s="8">
        <v>426</v>
      </c>
      <c r="B4808" s="8">
        <v>13</v>
      </c>
      <c r="C4808" s="8">
        <v>20</v>
      </c>
      <c r="D4808" s="8" t="s">
        <v>32</v>
      </c>
      <c r="E4808" s="9">
        <f>0.85-0.22+0.045-0.013-0.142-0.086-0.162</f>
        <v>0.27200000000000002</v>
      </c>
    </row>
    <row r="4809" spans="1:5" x14ac:dyDescent="0.3">
      <c r="A4809" s="8">
        <v>426</v>
      </c>
      <c r="B4809" s="8">
        <v>13</v>
      </c>
      <c r="C4809" s="8">
        <v>20</v>
      </c>
      <c r="D4809" s="8" t="s">
        <v>32</v>
      </c>
      <c r="E4809" s="9">
        <f>4.064+1.263-0.905+1.16</f>
        <v>5.5819999999999999</v>
      </c>
    </row>
    <row r="4810" spans="1:5" x14ac:dyDescent="0.3">
      <c r="A4810" s="8">
        <v>426</v>
      </c>
      <c r="B4810" s="8">
        <v>13</v>
      </c>
      <c r="C4810" s="8" t="s">
        <v>31</v>
      </c>
      <c r="D4810" s="8" t="s">
        <v>32</v>
      </c>
      <c r="E4810" s="9">
        <f>2.726+0.716+2.799-1.387-2.396+0.6</f>
        <v>3.0579999999999994</v>
      </c>
    </row>
    <row r="4811" spans="1:5" x14ac:dyDescent="0.3">
      <c r="A4811" s="10">
        <v>426</v>
      </c>
      <c r="B4811" s="10">
        <v>14</v>
      </c>
      <c r="C4811" s="10">
        <v>20</v>
      </c>
      <c r="D4811" s="10" t="s">
        <v>7</v>
      </c>
      <c r="E4811" s="15">
        <f>1.707-0.149</f>
        <v>1.5580000000000001</v>
      </c>
    </row>
    <row r="4812" spans="1:5" x14ac:dyDescent="0.3">
      <c r="A4812" s="8">
        <v>426</v>
      </c>
      <c r="B4812" s="8">
        <v>14</v>
      </c>
      <c r="C4812" s="8">
        <v>20</v>
      </c>
      <c r="D4812" s="8" t="s">
        <v>1</v>
      </c>
      <c r="E4812" s="9">
        <v>5</v>
      </c>
    </row>
    <row r="4813" spans="1:5" x14ac:dyDescent="0.3">
      <c r="A4813" s="13">
        <v>426</v>
      </c>
      <c r="B4813" s="13">
        <v>14</v>
      </c>
      <c r="C4813" s="13">
        <v>20</v>
      </c>
      <c r="D4813" s="13" t="s">
        <v>32</v>
      </c>
      <c r="E4813" s="16">
        <f>6.97-2.677-1.11-0.18-0.075-0.113-0.18-0.045-2.586+0.014</f>
        <v>1.799999999999867E-2</v>
      </c>
    </row>
    <row r="4814" spans="1:5" x14ac:dyDescent="0.3">
      <c r="A4814" s="10">
        <v>426</v>
      </c>
      <c r="B4814" s="10">
        <v>14</v>
      </c>
      <c r="C4814" s="10" t="s">
        <v>26</v>
      </c>
      <c r="D4814" s="10" t="s">
        <v>1</v>
      </c>
      <c r="E4814" s="15">
        <f>7.356+1.472-0.142-0.154+2.744-0.589-0.079-0.378-0.11-0.152+8.113-0.181-1.568-0.081-0.3-0.209-0.588-0.476-0.458-0.081-0.138-0.085-0.296-0.256-0.269-0.517-0.241-0.151-0.557-0.372-0.13-1.928-0.066-0.298-0.079-0.225-0.298-0.291-0.445-0.197-0.372-0.315-0.261-0.151-0.079</f>
        <v>6.1219999999999963</v>
      </c>
    </row>
    <row r="4815" spans="1:5" x14ac:dyDescent="0.3">
      <c r="A4815" s="10">
        <v>426</v>
      </c>
      <c r="B4815" s="10">
        <v>14</v>
      </c>
      <c r="C4815" s="10" t="s">
        <v>31</v>
      </c>
      <c r="D4815" s="10" t="s">
        <v>32</v>
      </c>
      <c r="E4815" s="15">
        <f>0.93+4.675-0.147-0.305-0.184+0.96</f>
        <v>5.9289999999999994</v>
      </c>
    </row>
    <row r="4816" spans="1:5" x14ac:dyDescent="0.3">
      <c r="A4816" s="10">
        <v>426</v>
      </c>
      <c r="B4816" s="10">
        <v>14</v>
      </c>
      <c r="C4816" s="10" t="s">
        <v>29</v>
      </c>
      <c r="D4816" s="10" t="s">
        <v>49</v>
      </c>
      <c r="E4816" s="15">
        <v>0.97</v>
      </c>
    </row>
    <row r="4817" spans="1:5" x14ac:dyDescent="0.3">
      <c r="A4817" s="10">
        <v>426</v>
      </c>
      <c r="B4817" s="10">
        <v>16</v>
      </c>
      <c r="C4817" s="10">
        <v>20</v>
      </c>
      <c r="D4817" s="10" t="s">
        <v>1</v>
      </c>
      <c r="E4817" s="15">
        <f>2.746-0.34-0.173-0.072-0.307-0.246-0.198-0.173-0.589-0.107-0.175-0.153-0.105+6.855-0.059-0.045-1.469-0.073-1.875-0.241-0.15-0.105-0.194-0.257+0.96-0.291+4.14-0.289-0.407-0.201-0.291-0.1-0.199-0.4-1.078-1.085-0.092-0.67</f>
        <v>2.4920000000000004</v>
      </c>
    </row>
    <row r="4818" spans="1:5" x14ac:dyDescent="0.3">
      <c r="A4818" s="10">
        <v>426</v>
      </c>
      <c r="B4818" s="10">
        <v>16</v>
      </c>
      <c r="C4818" s="10">
        <v>20</v>
      </c>
      <c r="D4818" s="10" t="s">
        <v>32</v>
      </c>
      <c r="E4818" s="15">
        <v>2.9350000000000001</v>
      </c>
    </row>
    <row r="4819" spans="1:5" x14ac:dyDescent="0.3">
      <c r="A4819" s="8">
        <v>426</v>
      </c>
      <c r="B4819" s="8">
        <v>16</v>
      </c>
      <c r="C4819" s="8">
        <v>20</v>
      </c>
      <c r="D4819" s="8" t="s">
        <v>32</v>
      </c>
      <c r="E4819" s="9">
        <f>5-2.935</f>
        <v>2.0649999999999999</v>
      </c>
    </row>
    <row r="4820" spans="1:5" x14ac:dyDescent="0.3">
      <c r="A4820" s="10">
        <v>426</v>
      </c>
      <c r="B4820" s="10">
        <v>16</v>
      </c>
      <c r="C4820" s="10" t="s">
        <v>26</v>
      </c>
      <c r="D4820" s="10" t="s">
        <v>46</v>
      </c>
      <c r="E4820" s="15">
        <f>20.392-0.094-0.271-0.089-0.58-0.336-0.873-0.45-0.302-0.965-0.171</f>
        <v>16.261000000000003</v>
      </c>
    </row>
    <row r="4821" spans="1:5" x14ac:dyDescent="0.3">
      <c r="A4821" s="10">
        <v>426</v>
      </c>
      <c r="B4821" s="10">
        <v>16</v>
      </c>
      <c r="C4821" s="10" t="s">
        <v>37</v>
      </c>
      <c r="D4821" s="10" t="s">
        <v>161</v>
      </c>
      <c r="E4821" s="15">
        <v>1.23</v>
      </c>
    </row>
    <row r="4822" spans="1:5" x14ac:dyDescent="0.3">
      <c r="A4822" s="10">
        <v>426</v>
      </c>
      <c r="B4822" s="10">
        <v>16</v>
      </c>
      <c r="C4822" s="10" t="s">
        <v>37</v>
      </c>
      <c r="D4822" s="10" t="s">
        <v>6</v>
      </c>
      <c r="E4822" s="15">
        <f>10.899-0.29-0.334-0.448-0.103-0.217-0.739-0.576-0.496-0.831-1.877-0.171-0.204-3.665-0.293+11.12+3.728-0.119-0.073</f>
        <v>15.310999999999998</v>
      </c>
    </row>
    <row r="4823" spans="1:5" x14ac:dyDescent="0.3">
      <c r="A4823" s="8">
        <v>426</v>
      </c>
      <c r="B4823" s="8">
        <v>16</v>
      </c>
      <c r="C4823" s="8" t="s">
        <v>31</v>
      </c>
      <c r="D4823" s="8" t="s">
        <v>32</v>
      </c>
      <c r="E4823" s="9">
        <f>1.054-0.094-0.53-0.098+1.1</f>
        <v>1.4320000000000002</v>
      </c>
    </row>
    <row r="4824" spans="1:5" x14ac:dyDescent="0.3">
      <c r="A4824" s="8">
        <v>426</v>
      </c>
      <c r="B4824" s="8">
        <v>16</v>
      </c>
      <c r="C4824" s="8" t="s">
        <v>31</v>
      </c>
      <c r="D4824" s="8" t="s">
        <v>32</v>
      </c>
      <c r="E4824" s="9">
        <v>8.8999999999999996E-2</v>
      </c>
    </row>
    <row r="4825" spans="1:5" x14ac:dyDescent="0.3">
      <c r="A4825" s="8">
        <v>426</v>
      </c>
      <c r="B4825" s="8">
        <v>17</v>
      </c>
      <c r="C4825" s="8" t="s">
        <v>31</v>
      </c>
      <c r="D4825" s="8" t="s">
        <v>32</v>
      </c>
      <c r="E4825" s="9">
        <v>10</v>
      </c>
    </row>
    <row r="4826" spans="1:5" x14ac:dyDescent="0.3">
      <c r="A4826" s="8">
        <v>426</v>
      </c>
      <c r="B4826" s="8">
        <v>18</v>
      </c>
      <c r="C4826" s="8">
        <v>20</v>
      </c>
      <c r="D4826" s="8" t="s">
        <v>1</v>
      </c>
      <c r="E4826" s="9">
        <f>1.344-0.285-0.099-0.086-0.296-0.58+0.013+6.61</f>
        <v>6.6210000000000004</v>
      </c>
    </row>
    <row r="4827" spans="1:5" x14ac:dyDescent="0.3">
      <c r="A4827" s="10">
        <v>426</v>
      </c>
      <c r="B4827" s="10">
        <v>18</v>
      </c>
      <c r="C4827" s="10">
        <v>20</v>
      </c>
      <c r="D4827" s="10" t="s">
        <v>32</v>
      </c>
      <c r="E4827" s="15">
        <v>1.1100000000000001</v>
      </c>
    </row>
    <row r="4828" spans="1:5" x14ac:dyDescent="0.3">
      <c r="A4828" s="10">
        <v>426</v>
      </c>
      <c r="B4828" s="10">
        <v>18</v>
      </c>
      <c r="C4828" s="10" t="s">
        <v>26</v>
      </c>
      <c r="D4828" s="10" t="s">
        <v>1</v>
      </c>
      <c r="E4828" s="15">
        <f>4.056+1.965-0.358+1.225-0.54-4.035-0.081-1.33+0.008-0.111+1.34+1.262-0.155-0.452+1.528-1.34-1.334-0.408-0.287-0.291-0.291-0.771+0.409</f>
        <v>9.0000000000003411E-3</v>
      </c>
    </row>
    <row r="4829" spans="1:5" x14ac:dyDescent="0.3">
      <c r="A4829" s="8">
        <v>426</v>
      </c>
      <c r="B4829" s="8">
        <v>18</v>
      </c>
      <c r="C4829" s="8" t="s">
        <v>31</v>
      </c>
      <c r="D4829" s="8" t="s">
        <v>32</v>
      </c>
      <c r="E4829" s="9">
        <f>0.874+2.151-1.163-0.289-0.989-0.21</f>
        <v>0.374</v>
      </c>
    </row>
    <row r="4830" spans="1:5" x14ac:dyDescent="0.3">
      <c r="A4830" s="8">
        <v>426</v>
      </c>
      <c r="B4830" s="8">
        <v>18</v>
      </c>
      <c r="C4830" s="8" t="s">
        <v>31</v>
      </c>
      <c r="D4830" s="8" t="s">
        <v>32</v>
      </c>
      <c r="E4830" s="9">
        <v>2.4689999999999999</v>
      </c>
    </row>
    <row r="4831" spans="1:5" x14ac:dyDescent="0.3">
      <c r="A4831" s="8">
        <v>426</v>
      </c>
      <c r="B4831" s="8">
        <v>19</v>
      </c>
      <c r="C4831" s="8" t="s">
        <v>31</v>
      </c>
      <c r="D4831" s="8" t="s">
        <v>32</v>
      </c>
      <c r="E4831" s="9">
        <v>0.92900000000000005</v>
      </c>
    </row>
    <row r="4832" spans="1:5" x14ac:dyDescent="0.3">
      <c r="A4832" s="8">
        <v>426</v>
      </c>
      <c r="B4832" s="8">
        <v>19</v>
      </c>
      <c r="C4832" s="8" t="s">
        <v>31</v>
      </c>
      <c r="D4832" s="8" t="s">
        <v>32</v>
      </c>
      <c r="E4832" s="9">
        <f>3.277-0.929</f>
        <v>2.3479999999999999</v>
      </c>
    </row>
    <row r="4833" spans="1:5" x14ac:dyDescent="0.3">
      <c r="A4833" s="10">
        <v>426</v>
      </c>
      <c r="B4833" s="10">
        <v>18</v>
      </c>
      <c r="C4833" s="10" t="s">
        <v>45</v>
      </c>
      <c r="D4833" s="10" t="s">
        <v>32</v>
      </c>
      <c r="E4833" s="15">
        <v>0.81100000000000005</v>
      </c>
    </row>
    <row r="4834" spans="1:5" x14ac:dyDescent="0.3">
      <c r="A4834" s="10">
        <v>426</v>
      </c>
      <c r="B4834" s="10">
        <v>19</v>
      </c>
      <c r="C4834" s="10" t="s">
        <v>37</v>
      </c>
      <c r="D4834" s="10" t="s">
        <v>1</v>
      </c>
      <c r="E4834" s="15">
        <v>6.0279999999999996</v>
      </c>
    </row>
    <row r="4835" spans="1:5" x14ac:dyDescent="0.3">
      <c r="A4835" s="10">
        <v>426</v>
      </c>
      <c r="B4835" s="10">
        <v>20</v>
      </c>
      <c r="C4835" s="10">
        <v>20</v>
      </c>
      <c r="D4835" s="10" t="s">
        <v>7</v>
      </c>
      <c r="E4835" s="15">
        <v>4.0460000000000003</v>
      </c>
    </row>
    <row r="4836" spans="1:5" x14ac:dyDescent="0.3">
      <c r="A4836" s="10">
        <v>426</v>
      </c>
      <c r="B4836" s="10">
        <v>20</v>
      </c>
      <c r="C4836" s="10">
        <v>20</v>
      </c>
      <c r="D4836" s="10" t="s">
        <v>1</v>
      </c>
      <c r="E4836" s="15">
        <f>4.676-0.031+2.063-0.41-0.091-0.456-0.824-0.047-0.557-0.412-0.047-2.342-0.613-0.183</f>
        <v>0.72599999999999931</v>
      </c>
    </row>
    <row r="4837" spans="1:5" x14ac:dyDescent="0.3">
      <c r="A4837" s="8">
        <v>426</v>
      </c>
      <c r="B4837" s="8">
        <v>20</v>
      </c>
      <c r="C4837" s="8">
        <v>20</v>
      </c>
      <c r="D4837" s="8" t="s">
        <v>32</v>
      </c>
      <c r="E4837" s="9">
        <v>1.1759999999999999</v>
      </c>
    </row>
    <row r="4838" spans="1:5" x14ac:dyDescent="0.3">
      <c r="A4838" s="8">
        <v>426</v>
      </c>
      <c r="B4838" s="8">
        <v>20</v>
      </c>
      <c r="C4838" s="8">
        <v>20</v>
      </c>
      <c r="D4838" s="8" t="s">
        <v>32</v>
      </c>
      <c r="E4838" s="9">
        <f>7.531-0.106-0.203+0.795-0.236</f>
        <v>7.7809999999999997</v>
      </c>
    </row>
    <row r="4839" spans="1:5" x14ac:dyDescent="0.3">
      <c r="A4839" s="8">
        <v>426</v>
      </c>
      <c r="B4839" s="8">
        <v>20</v>
      </c>
      <c r="C4839" s="8" t="s">
        <v>26</v>
      </c>
      <c r="D4839" s="8" t="s">
        <v>64</v>
      </c>
      <c r="E4839" s="9">
        <v>10</v>
      </c>
    </row>
    <row r="4840" spans="1:5" x14ac:dyDescent="0.3">
      <c r="A4840" s="10">
        <v>426</v>
      </c>
      <c r="B4840" s="10">
        <v>20</v>
      </c>
      <c r="C4840" s="10" t="s">
        <v>26</v>
      </c>
      <c r="D4840" s="10" t="s">
        <v>46</v>
      </c>
      <c r="E4840" s="15">
        <f>21.309-4.762-0.227-0.632-0.648-0.231-0.594-0.408-0.169-0.151-2.327</f>
        <v>11.160000000000002</v>
      </c>
    </row>
    <row r="4841" spans="1:5" x14ac:dyDescent="0.3">
      <c r="A4841" s="8">
        <v>426</v>
      </c>
      <c r="B4841" s="8">
        <v>20</v>
      </c>
      <c r="C4841" s="8" t="s">
        <v>30</v>
      </c>
      <c r="D4841" s="8" t="s">
        <v>1</v>
      </c>
      <c r="E4841" s="9">
        <v>5</v>
      </c>
    </row>
    <row r="4842" spans="1:5" x14ac:dyDescent="0.3">
      <c r="A4842" s="8">
        <v>426</v>
      </c>
      <c r="B4842" s="8">
        <v>20</v>
      </c>
      <c r="C4842" s="8" t="s">
        <v>31</v>
      </c>
      <c r="D4842" s="8" t="s">
        <v>32</v>
      </c>
      <c r="E4842" s="9">
        <f>1.57+0.68-1.57+5.545+1.35-1.92-0.125-4.975+2.25</f>
        <v>2.8049999999999997</v>
      </c>
    </row>
    <row r="4843" spans="1:5" x14ac:dyDescent="0.3">
      <c r="A4843" s="8">
        <v>426</v>
      </c>
      <c r="B4843" s="8">
        <v>20</v>
      </c>
      <c r="C4843" s="8" t="s">
        <v>31</v>
      </c>
      <c r="D4843" s="8" t="s">
        <v>32</v>
      </c>
      <c r="E4843" s="9">
        <f>10-2.25</f>
        <v>7.75</v>
      </c>
    </row>
    <row r="4844" spans="1:5" x14ac:dyDescent="0.3">
      <c r="A4844" s="10">
        <v>426</v>
      </c>
      <c r="B4844" s="10">
        <v>20</v>
      </c>
      <c r="C4844" s="10" t="s">
        <v>29</v>
      </c>
      <c r="D4844" s="10" t="s">
        <v>49</v>
      </c>
      <c r="E4844" s="15">
        <f>1.521-0.112</f>
        <v>1.4089999999999998</v>
      </c>
    </row>
    <row r="4845" spans="1:5" x14ac:dyDescent="0.3">
      <c r="A4845" s="10">
        <v>426</v>
      </c>
      <c r="B4845" s="10">
        <v>21</v>
      </c>
      <c r="C4845" s="10">
        <v>20</v>
      </c>
      <c r="D4845" s="10" t="s">
        <v>1</v>
      </c>
      <c r="E4845" s="15">
        <v>2.3340000000000001</v>
      </c>
    </row>
    <row r="4846" spans="1:5" x14ac:dyDescent="0.3">
      <c r="A4846" s="10">
        <v>426</v>
      </c>
      <c r="B4846" s="10">
        <v>22</v>
      </c>
      <c r="C4846" s="10">
        <v>20</v>
      </c>
      <c r="D4846" s="10" t="s">
        <v>1</v>
      </c>
      <c r="E4846" s="15">
        <f>2.621+0.773-0.773-0.138-0.127-0.171-0.118-0.171-0.309-0.065</f>
        <v>1.5220000000000002</v>
      </c>
    </row>
    <row r="4847" spans="1:5" x14ac:dyDescent="0.3">
      <c r="A4847" s="8">
        <v>426</v>
      </c>
      <c r="B4847" s="8">
        <v>22</v>
      </c>
      <c r="C4847" s="8">
        <v>20</v>
      </c>
      <c r="D4847" s="8" t="s">
        <v>32</v>
      </c>
      <c r="E4847" s="9">
        <f>1.49+1.41-1.52-0.52+0.08</f>
        <v>0.93999999999999984</v>
      </c>
    </row>
    <row r="4848" spans="1:5" x14ac:dyDescent="0.3">
      <c r="A4848" s="8">
        <v>426</v>
      </c>
      <c r="B4848" s="8">
        <v>22</v>
      </c>
      <c r="C4848" s="8">
        <v>20</v>
      </c>
      <c r="D4848" s="8" t="s">
        <v>32</v>
      </c>
      <c r="E4848" s="9">
        <v>2.9380000000000002</v>
      </c>
    </row>
    <row r="4849" spans="1:5" x14ac:dyDescent="0.3">
      <c r="A4849" s="10">
        <v>426</v>
      </c>
      <c r="B4849" s="10">
        <v>22</v>
      </c>
      <c r="C4849" s="10" t="s">
        <v>26</v>
      </c>
      <c r="D4849" s="10" t="s">
        <v>1</v>
      </c>
      <c r="E4849" s="15">
        <f>21.186-0.119-1.218-18.556+34.841-0.561-0.669-1.005-0.559-1.2-0.581-0.669-0.066-0.341-0.151-0.587-0.233</f>
        <v>29.512</v>
      </c>
    </row>
    <row r="4850" spans="1:5" x14ac:dyDescent="0.3">
      <c r="A4850" s="10">
        <v>426</v>
      </c>
      <c r="B4850" s="10">
        <v>22</v>
      </c>
      <c r="C4850" s="10" t="s">
        <v>26</v>
      </c>
      <c r="D4850" s="10" t="s">
        <v>1</v>
      </c>
      <c r="E4850" s="15">
        <f>1.365+2.334-1.001-0.451-0.372-0.564-0.091-0.301+2.384</f>
        <v>3.3029999999999999</v>
      </c>
    </row>
    <row r="4851" spans="1:5" x14ac:dyDescent="0.3">
      <c r="A4851" s="8">
        <v>426</v>
      </c>
      <c r="B4851" s="8">
        <v>22</v>
      </c>
      <c r="C4851" s="8" t="s">
        <v>26</v>
      </c>
      <c r="D4851" s="8" t="s">
        <v>1</v>
      </c>
      <c r="E4851" s="9">
        <v>2.448</v>
      </c>
    </row>
    <row r="4852" spans="1:5" x14ac:dyDescent="0.3">
      <c r="A4852" s="10">
        <v>426</v>
      </c>
      <c r="B4852" s="10">
        <v>22</v>
      </c>
      <c r="C4852" s="10" t="s">
        <v>26</v>
      </c>
      <c r="D4852" s="10" t="s">
        <v>46</v>
      </c>
      <c r="E4852" s="15">
        <v>14.981</v>
      </c>
    </row>
    <row r="4853" spans="1:5" x14ac:dyDescent="0.3">
      <c r="A4853" s="10">
        <v>426</v>
      </c>
      <c r="B4853" s="10">
        <v>22</v>
      </c>
      <c r="C4853" s="10" t="s">
        <v>187</v>
      </c>
      <c r="D4853" s="10" t="s">
        <v>140</v>
      </c>
      <c r="E4853" s="15">
        <v>1.591</v>
      </c>
    </row>
    <row r="4854" spans="1:5" x14ac:dyDescent="0.3">
      <c r="A4854" s="8">
        <v>426</v>
      </c>
      <c r="B4854" s="8">
        <v>22</v>
      </c>
      <c r="C4854" s="8" t="s">
        <v>31</v>
      </c>
      <c r="D4854" s="8" t="s">
        <v>32</v>
      </c>
      <c r="E4854" s="9">
        <f>1.525+0.876-0.884</f>
        <v>1.5169999999999999</v>
      </c>
    </row>
    <row r="4855" spans="1:5" x14ac:dyDescent="0.3">
      <c r="A4855" s="13">
        <v>426</v>
      </c>
      <c r="B4855" s="13">
        <v>24</v>
      </c>
      <c r="C4855" s="13">
        <v>20</v>
      </c>
      <c r="D4855" s="13" t="s">
        <v>32</v>
      </c>
      <c r="E4855" s="16">
        <f>2.799+2.19-2.191-0.344-0.077+2.377+2.158+4.222-0.096-0.374-2.359-0.655-0.797</f>
        <v>6.8529999999999998</v>
      </c>
    </row>
    <row r="4856" spans="1:5" x14ac:dyDescent="0.3">
      <c r="A4856" s="10">
        <v>426</v>
      </c>
      <c r="B4856" s="10">
        <v>24</v>
      </c>
      <c r="C4856" s="10" t="s">
        <v>26</v>
      </c>
      <c r="D4856" s="10" t="s">
        <v>46</v>
      </c>
      <c r="E4856" s="15">
        <f>22.122-0.726-0.729-2.825-0.32+2.768-0.917-5.415-8.42</f>
        <v>5.538000000000002</v>
      </c>
    </row>
    <row r="4857" spans="1:5" x14ac:dyDescent="0.3">
      <c r="A4857" s="10">
        <v>426</v>
      </c>
      <c r="B4857" s="10">
        <v>24</v>
      </c>
      <c r="C4857" s="10" t="s">
        <v>35</v>
      </c>
      <c r="D4857" s="10" t="s">
        <v>32</v>
      </c>
      <c r="E4857" s="15">
        <f>0.993+1.35-0.055</f>
        <v>2.2879999999999998</v>
      </c>
    </row>
    <row r="4858" spans="1:5" x14ac:dyDescent="0.3">
      <c r="A4858" s="8">
        <v>426</v>
      </c>
      <c r="B4858" s="8">
        <v>24</v>
      </c>
      <c r="C4858" s="8" t="s">
        <v>31</v>
      </c>
      <c r="D4858" s="8" t="s">
        <v>32</v>
      </c>
      <c r="E4858" s="9">
        <f>2.67+2.445</f>
        <v>5.1150000000000002</v>
      </c>
    </row>
    <row r="4859" spans="1:5" x14ac:dyDescent="0.3">
      <c r="A4859" s="8">
        <v>426</v>
      </c>
      <c r="B4859" s="8">
        <v>24</v>
      </c>
      <c r="C4859" s="8" t="s">
        <v>31</v>
      </c>
      <c r="D4859" s="8" t="s">
        <v>32</v>
      </c>
      <c r="E4859" s="9">
        <f>10-2.445</f>
        <v>7.5549999999999997</v>
      </c>
    </row>
    <row r="4860" spans="1:5" x14ac:dyDescent="0.3">
      <c r="A4860" s="10">
        <v>426</v>
      </c>
      <c r="B4860" s="10">
        <v>25</v>
      </c>
      <c r="C4860" s="10">
        <v>20</v>
      </c>
      <c r="D4860" s="10" t="s">
        <v>1</v>
      </c>
      <c r="E4860" s="15">
        <f>22.493+9.091+1.242-0.179+1.46-0.181+0.117-0.117-0.176-0.709-0.209-0.258-0.261-0.05-0.407-0.045-1.252-0.067-0.241-0.503-0.248-1.063-0.759-0.204-0.883-0.333-1.262-0.159-0.082-0.258-0.258-1.14-0.546-1.67-0.43</f>
        <v>20.452999999999989</v>
      </c>
    </row>
    <row r="4861" spans="1:5" x14ac:dyDescent="0.3">
      <c r="A4861" s="10">
        <v>426</v>
      </c>
      <c r="B4861" s="10">
        <v>25</v>
      </c>
      <c r="C4861" s="10" t="s">
        <v>26</v>
      </c>
      <c r="D4861" s="10" t="s">
        <v>46</v>
      </c>
      <c r="E4861" s="15">
        <f>28.098-10.984</f>
        <v>17.113999999999997</v>
      </c>
    </row>
    <row r="4862" spans="1:5" x14ac:dyDescent="0.3">
      <c r="A4862" s="10">
        <v>426</v>
      </c>
      <c r="B4862" s="10">
        <v>25</v>
      </c>
      <c r="C4862" s="10" t="s">
        <v>37</v>
      </c>
      <c r="D4862" s="10" t="s">
        <v>1</v>
      </c>
      <c r="E4862" s="15">
        <f>2.51+2.491-0.154-0.31-0.756-2.39</f>
        <v>1.3909999999999996</v>
      </c>
    </row>
    <row r="4863" spans="1:5" x14ac:dyDescent="0.3">
      <c r="A4863" s="10">
        <v>426</v>
      </c>
      <c r="B4863" s="10">
        <v>25</v>
      </c>
      <c r="C4863" s="10" t="s">
        <v>28</v>
      </c>
      <c r="D4863" s="10" t="s">
        <v>1</v>
      </c>
      <c r="E4863" s="15">
        <f>6.058-0.459-0.954-1.666-1.599-0.137+4.968-1.274-0.263-0.135</f>
        <v>4.5390000000000006</v>
      </c>
    </row>
    <row r="4864" spans="1:5" x14ac:dyDescent="0.3">
      <c r="A4864" s="10">
        <v>426</v>
      </c>
      <c r="B4864" s="10">
        <v>25</v>
      </c>
      <c r="C4864" s="10" t="s">
        <v>30</v>
      </c>
      <c r="D4864" s="10" t="s">
        <v>1</v>
      </c>
      <c r="E4864" s="15">
        <f>5.348-0.052</f>
        <v>5.2960000000000003</v>
      </c>
    </row>
    <row r="4865" spans="1:5" x14ac:dyDescent="0.3">
      <c r="A4865" s="10">
        <v>426</v>
      </c>
      <c r="B4865" s="10">
        <v>25</v>
      </c>
      <c r="C4865" s="10" t="s">
        <v>31</v>
      </c>
      <c r="D4865" s="10" t="s">
        <v>32</v>
      </c>
      <c r="E4865" s="15">
        <v>0.96</v>
      </c>
    </row>
    <row r="4866" spans="1:5" x14ac:dyDescent="0.3">
      <c r="A4866" s="10">
        <v>426</v>
      </c>
      <c r="B4866" s="10">
        <v>26</v>
      </c>
      <c r="C4866" s="10">
        <v>20</v>
      </c>
      <c r="D4866" s="10" t="s">
        <v>1</v>
      </c>
      <c r="E4866" s="15">
        <f>2.93-0.193-0.081-0.338</f>
        <v>2.3180000000000001</v>
      </c>
    </row>
    <row r="4867" spans="1:5" x14ac:dyDescent="0.3">
      <c r="A4867" s="10">
        <v>426</v>
      </c>
      <c r="B4867" s="10">
        <v>26</v>
      </c>
      <c r="C4867" s="10" t="s">
        <v>26</v>
      </c>
      <c r="D4867" s="10" t="s">
        <v>1</v>
      </c>
      <c r="E4867" s="15">
        <f>2.706-0.39-0.279-0.267-0.323+2.7+5.582+2.386-8.032-1.48-0.565-0.156</f>
        <v>1.8819999999999986</v>
      </c>
    </row>
    <row r="4868" spans="1:5" x14ac:dyDescent="0.3">
      <c r="A4868" s="10">
        <v>426</v>
      </c>
      <c r="B4868" s="10">
        <v>26</v>
      </c>
      <c r="C4868" s="10" t="s">
        <v>26</v>
      </c>
      <c r="D4868" s="10" t="s">
        <v>64</v>
      </c>
      <c r="E4868" s="15">
        <f>11.32-0.037-0.673-1.926</f>
        <v>8.6839999999999993</v>
      </c>
    </row>
    <row r="4869" spans="1:5" x14ac:dyDescent="0.3">
      <c r="A4869" s="10">
        <v>426</v>
      </c>
      <c r="B4869" s="10">
        <v>26</v>
      </c>
      <c r="C4869" s="10" t="s">
        <v>26</v>
      </c>
      <c r="D4869" s="10" t="s">
        <v>46</v>
      </c>
      <c r="E4869" s="15">
        <v>56.061</v>
      </c>
    </row>
    <row r="4870" spans="1:5" x14ac:dyDescent="0.3">
      <c r="A4870" s="10">
        <v>426</v>
      </c>
      <c r="B4870" s="10">
        <v>28</v>
      </c>
      <c r="C4870" s="10">
        <v>20</v>
      </c>
      <c r="D4870" s="10" t="s">
        <v>32</v>
      </c>
      <c r="E4870" s="15">
        <f>2.745+7.435</f>
        <v>10.18</v>
      </c>
    </row>
    <row r="4871" spans="1:5" x14ac:dyDescent="0.3">
      <c r="A4871" s="10">
        <v>426</v>
      </c>
      <c r="B4871" s="10">
        <v>28</v>
      </c>
      <c r="C4871" s="10" t="s">
        <v>26</v>
      </c>
      <c r="D4871" s="10" t="s">
        <v>1</v>
      </c>
      <c r="E4871" s="15">
        <f>10.366-1.152-0.731-0.734-0.334-0.167-1.454-0.317-0.334-0.31-0.878-2.219-0.383</f>
        <v>1.353000000000002</v>
      </c>
    </row>
    <row r="4872" spans="1:5" x14ac:dyDescent="0.3">
      <c r="A4872" s="10">
        <v>426</v>
      </c>
      <c r="B4872" s="10">
        <v>28</v>
      </c>
      <c r="C4872" s="10" t="s">
        <v>26</v>
      </c>
      <c r="D4872" s="10" t="s">
        <v>46</v>
      </c>
      <c r="E4872" s="15">
        <v>10</v>
      </c>
    </row>
    <row r="4873" spans="1:5" x14ac:dyDescent="0.3">
      <c r="A4873" s="8">
        <v>426</v>
      </c>
      <c r="B4873" s="8">
        <v>28</v>
      </c>
      <c r="C4873" s="8" t="s">
        <v>35</v>
      </c>
      <c r="D4873" s="8" t="s">
        <v>32</v>
      </c>
      <c r="E4873" s="9">
        <v>3.06</v>
      </c>
    </row>
    <row r="4874" spans="1:5" x14ac:dyDescent="0.3">
      <c r="A4874" s="10">
        <v>426</v>
      </c>
      <c r="B4874" s="10">
        <v>28</v>
      </c>
      <c r="C4874" s="10" t="s">
        <v>31</v>
      </c>
      <c r="D4874" s="10" t="s">
        <v>32</v>
      </c>
      <c r="E4874" s="15">
        <f>9.708-3.199-3.222-1.802+3.2+1.9-1.428-3.287-0.308-0.435-0.861+1.285</f>
        <v>1.5510000000000008</v>
      </c>
    </row>
    <row r="4875" spans="1:5" x14ac:dyDescent="0.3">
      <c r="A4875" s="8">
        <v>426</v>
      </c>
      <c r="B4875" s="8">
        <v>28</v>
      </c>
      <c r="C4875" s="8" t="s">
        <v>31</v>
      </c>
      <c r="D4875" s="8" t="s">
        <v>32</v>
      </c>
      <c r="E4875" s="9">
        <f>10-1.285</f>
        <v>8.7149999999999999</v>
      </c>
    </row>
    <row r="4876" spans="1:5" x14ac:dyDescent="0.3">
      <c r="A4876" s="8">
        <v>426</v>
      </c>
      <c r="B4876" s="8">
        <v>30</v>
      </c>
      <c r="C4876" s="8">
        <v>20</v>
      </c>
      <c r="D4876" s="8" t="s">
        <v>1</v>
      </c>
      <c r="E4876" s="9">
        <v>5</v>
      </c>
    </row>
    <row r="4877" spans="1:5" x14ac:dyDescent="0.3">
      <c r="A4877" s="10">
        <v>426</v>
      </c>
      <c r="B4877" s="10">
        <v>30</v>
      </c>
      <c r="C4877" s="10" t="s">
        <v>26</v>
      </c>
      <c r="D4877" s="10" t="s">
        <v>1</v>
      </c>
      <c r="E4877" s="15">
        <f>6.154-0.462-0.056-0.744-0.309-0.62-0.908-0.08-0.438</f>
        <v>2.5369999999999999</v>
      </c>
    </row>
    <row r="4878" spans="1:5" x14ac:dyDescent="0.3">
      <c r="A4878" s="8">
        <v>426</v>
      </c>
      <c r="B4878" s="8">
        <v>30</v>
      </c>
      <c r="C4878" s="8" t="s">
        <v>30</v>
      </c>
      <c r="D4878" s="8" t="s">
        <v>1</v>
      </c>
      <c r="E4878" s="9">
        <v>5</v>
      </c>
    </row>
    <row r="4879" spans="1:5" x14ac:dyDescent="0.3">
      <c r="A4879" s="10">
        <v>426</v>
      </c>
      <c r="B4879" s="10">
        <v>32</v>
      </c>
      <c r="C4879" s="10">
        <v>20</v>
      </c>
      <c r="D4879" s="10" t="s">
        <v>1</v>
      </c>
      <c r="E4879" s="15">
        <f>5.95-0.48-0.315-0.094</f>
        <v>5.0609999999999999</v>
      </c>
    </row>
    <row r="4880" spans="1:5" x14ac:dyDescent="0.3">
      <c r="A4880" s="8">
        <v>426</v>
      </c>
      <c r="B4880" s="8">
        <v>32</v>
      </c>
      <c r="C4880" s="8">
        <v>20</v>
      </c>
      <c r="D4880" s="8" t="s">
        <v>32</v>
      </c>
      <c r="E4880" s="9">
        <v>4.3810000000000002</v>
      </c>
    </row>
    <row r="4881" spans="1:5" x14ac:dyDescent="0.3">
      <c r="A4881" s="8">
        <v>426</v>
      </c>
      <c r="B4881" s="8">
        <v>32</v>
      </c>
      <c r="C4881" s="8">
        <v>20</v>
      </c>
      <c r="D4881" s="8" t="s">
        <v>32</v>
      </c>
      <c r="E4881" s="9">
        <f>5-4.381</f>
        <v>0.61899999999999977</v>
      </c>
    </row>
    <row r="4882" spans="1:5" x14ac:dyDescent="0.3">
      <c r="A4882" s="10">
        <v>426</v>
      </c>
      <c r="B4882" s="10">
        <v>32</v>
      </c>
      <c r="C4882" s="10" t="s">
        <v>26</v>
      </c>
      <c r="D4882" s="10" t="s">
        <v>1</v>
      </c>
      <c r="E4882" s="15">
        <f>8.613-0.195-0.593-2.145-4.305-0.313-0.102-0.106+2.85+7.746-2.415-0.879-0.232-0.063-0.474-0.691-0.672</f>
        <v>6.0240000000000009</v>
      </c>
    </row>
    <row r="4883" spans="1:5" x14ac:dyDescent="0.3">
      <c r="A4883" s="10">
        <v>426</v>
      </c>
      <c r="B4883" s="10">
        <v>32</v>
      </c>
      <c r="C4883" s="10">
        <v>35</v>
      </c>
      <c r="D4883" s="10" t="s">
        <v>1</v>
      </c>
      <c r="E4883" s="15">
        <v>7.5060000000000002</v>
      </c>
    </row>
    <row r="4884" spans="1:5" x14ac:dyDescent="0.3">
      <c r="A4884" s="10">
        <v>426</v>
      </c>
      <c r="B4884" s="10">
        <v>32</v>
      </c>
      <c r="C4884" s="10">
        <v>45</v>
      </c>
      <c r="D4884" s="10" t="s">
        <v>1</v>
      </c>
      <c r="E4884" s="15">
        <f>4.574-0.64</f>
        <v>3.9339999999999997</v>
      </c>
    </row>
    <row r="4885" spans="1:5" x14ac:dyDescent="0.3">
      <c r="A4885" s="10">
        <v>426</v>
      </c>
      <c r="B4885" s="10">
        <v>32</v>
      </c>
      <c r="C4885" s="10" t="s">
        <v>28</v>
      </c>
      <c r="D4885" s="10" t="s">
        <v>1</v>
      </c>
      <c r="E4885" s="15">
        <f>11.445-2.554+0.069-0.353-0.507</f>
        <v>8.1000000000000014</v>
      </c>
    </row>
    <row r="4886" spans="1:5" x14ac:dyDescent="0.3">
      <c r="A4886" s="8">
        <v>426</v>
      </c>
      <c r="B4886" s="8">
        <v>34</v>
      </c>
      <c r="C4886" s="8">
        <v>20</v>
      </c>
      <c r="D4886" s="8" t="s">
        <v>1</v>
      </c>
      <c r="E4886" s="9">
        <f>1.638-0.187</f>
        <v>1.4509999999999998</v>
      </c>
    </row>
    <row r="4887" spans="1:5" x14ac:dyDescent="0.3">
      <c r="A4887" s="10">
        <v>426</v>
      </c>
      <c r="B4887" s="10">
        <v>34</v>
      </c>
      <c r="C4887" s="10" t="s">
        <v>28</v>
      </c>
      <c r="D4887" s="10" t="s">
        <v>1</v>
      </c>
      <c r="E4887" s="15">
        <v>6.12</v>
      </c>
    </row>
    <row r="4888" spans="1:5" x14ac:dyDescent="0.3">
      <c r="A4888" s="10">
        <v>426</v>
      </c>
      <c r="B4888" s="10">
        <v>36</v>
      </c>
      <c r="C4888" s="10">
        <v>20</v>
      </c>
      <c r="D4888" s="10" t="s">
        <v>1</v>
      </c>
      <c r="E4888" s="15">
        <f>11.097-0.352-0.465-1.365-2.181</f>
        <v>6.7339999999999991</v>
      </c>
    </row>
    <row r="4889" spans="1:5" x14ac:dyDescent="0.3">
      <c r="A4889" s="10">
        <v>426</v>
      </c>
      <c r="B4889" s="10">
        <v>36</v>
      </c>
      <c r="C4889" s="10">
        <v>20</v>
      </c>
      <c r="D4889" s="10" t="s">
        <v>32</v>
      </c>
      <c r="E4889" s="15">
        <f>14.62-0.132-2.927-0.581-0.207-2.909+10.772-8.837+8.94+2.38-0.415-0.525</f>
        <v>20.178999999999998</v>
      </c>
    </row>
    <row r="4890" spans="1:5" x14ac:dyDescent="0.3">
      <c r="A4890" s="8">
        <v>426</v>
      </c>
      <c r="B4890" s="8">
        <v>36</v>
      </c>
      <c r="C4890" s="8">
        <v>20</v>
      </c>
      <c r="D4890" s="8" t="s">
        <v>32</v>
      </c>
      <c r="E4890" s="9">
        <v>2.4580000000000002</v>
      </c>
    </row>
    <row r="4891" spans="1:5" x14ac:dyDescent="0.3">
      <c r="A4891" s="10">
        <v>426</v>
      </c>
      <c r="B4891" s="10">
        <v>36</v>
      </c>
      <c r="C4891" s="10" t="s">
        <v>26</v>
      </c>
      <c r="D4891" s="10" t="s">
        <v>1</v>
      </c>
      <c r="E4891" s="15">
        <f>7.213+1.352-0.21-1.144-0.107-0.32-0.079+30.665-0.563-0.346-1.7-1.854-0.254-0.571-0.136-1.92-9.61-0.126-8.636-8.397</f>
        <v>3.2570000000000032</v>
      </c>
    </row>
    <row r="4892" spans="1:5" x14ac:dyDescent="0.3">
      <c r="A4892" s="10">
        <v>426</v>
      </c>
      <c r="B4892" s="10">
        <v>36</v>
      </c>
      <c r="C4892" s="10">
        <v>35</v>
      </c>
      <c r="D4892" s="10" t="s">
        <v>1</v>
      </c>
      <c r="E4892" s="15">
        <v>6.92</v>
      </c>
    </row>
    <row r="4893" spans="1:5" x14ac:dyDescent="0.3">
      <c r="A4893" s="10">
        <v>426</v>
      </c>
      <c r="B4893" s="10">
        <v>36</v>
      </c>
      <c r="C4893" s="10">
        <v>45</v>
      </c>
      <c r="D4893" s="10" t="s">
        <v>1</v>
      </c>
      <c r="E4893" s="15">
        <f>4.99-0.706-0.289</f>
        <v>3.9950000000000006</v>
      </c>
    </row>
    <row r="4894" spans="1:5" x14ac:dyDescent="0.3">
      <c r="A4894" s="10">
        <v>426</v>
      </c>
      <c r="B4894" s="10">
        <v>36</v>
      </c>
      <c r="C4894" s="10" t="s">
        <v>37</v>
      </c>
      <c r="D4894" s="10" t="s">
        <v>1</v>
      </c>
      <c r="E4894" s="15">
        <f>1.705+3.52-0.884-0.136-0.268</f>
        <v>3.9369999999999994</v>
      </c>
    </row>
    <row r="4895" spans="1:5" x14ac:dyDescent="0.3">
      <c r="A4895" s="10">
        <v>426</v>
      </c>
      <c r="B4895" s="10">
        <v>36</v>
      </c>
      <c r="C4895" s="10" t="s">
        <v>28</v>
      </c>
      <c r="D4895" s="10" t="s">
        <v>1</v>
      </c>
      <c r="E4895" s="15">
        <f>5.546-0.2</f>
        <v>5.3460000000000001</v>
      </c>
    </row>
    <row r="4896" spans="1:5" x14ac:dyDescent="0.3">
      <c r="A4896" s="8">
        <v>426</v>
      </c>
      <c r="B4896" s="8">
        <v>36</v>
      </c>
      <c r="C4896" s="8" t="s">
        <v>30</v>
      </c>
      <c r="D4896" s="8" t="s">
        <v>1</v>
      </c>
      <c r="E4896" s="9">
        <f>10.899-0.295-0.188-1.583</f>
        <v>8.8329999999999984</v>
      </c>
    </row>
    <row r="4897" spans="1:5" x14ac:dyDescent="0.3">
      <c r="A4897" s="10">
        <v>426</v>
      </c>
      <c r="B4897" s="10">
        <v>36</v>
      </c>
      <c r="C4897" s="10" t="s">
        <v>31</v>
      </c>
      <c r="D4897" s="10" t="s">
        <v>32</v>
      </c>
      <c r="E4897" s="15">
        <f>9.494-0.348-0.389-1.107-1.297</f>
        <v>6.3529999999999998</v>
      </c>
    </row>
    <row r="4898" spans="1:5" x14ac:dyDescent="0.3">
      <c r="A4898" s="10">
        <v>426</v>
      </c>
      <c r="B4898" s="10">
        <v>38</v>
      </c>
      <c r="C4898" s="10" t="s">
        <v>26</v>
      </c>
      <c r="D4898" s="10" t="s">
        <v>1</v>
      </c>
      <c r="E4898" s="15">
        <f>2.692-0.206</f>
        <v>2.4860000000000002</v>
      </c>
    </row>
    <row r="4899" spans="1:5" x14ac:dyDescent="0.3">
      <c r="A4899" s="10">
        <v>426</v>
      </c>
      <c r="B4899" s="10">
        <v>38</v>
      </c>
      <c r="C4899" s="10" t="s">
        <v>31</v>
      </c>
      <c r="D4899" s="10" t="s">
        <v>32</v>
      </c>
      <c r="E4899" s="15">
        <v>2.9020000000000001</v>
      </c>
    </row>
    <row r="4900" spans="1:5" x14ac:dyDescent="0.3">
      <c r="A4900" s="8">
        <v>426</v>
      </c>
      <c r="B4900" s="8">
        <v>40</v>
      </c>
      <c r="C4900" s="8">
        <v>20</v>
      </c>
      <c r="D4900" s="8" t="s">
        <v>1</v>
      </c>
      <c r="E4900" s="9">
        <v>7</v>
      </c>
    </row>
    <row r="4901" spans="1:5" x14ac:dyDescent="0.3">
      <c r="A4901" s="10">
        <v>426</v>
      </c>
      <c r="B4901" s="10">
        <v>40</v>
      </c>
      <c r="C4901" s="10">
        <v>20</v>
      </c>
      <c r="D4901" s="10" t="s">
        <v>32</v>
      </c>
      <c r="E4901" s="15">
        <f>7.279-5.369</f>
        <v>1.9100000000000001</v>
      </c>
    </row>
    <row r="4902" spans="1:5" x14ac:dyDescent="0.3">
      <c r="A4902" s="10">
        <v>426</v>
      </c>
      <c r="B4902" s="10">
        <v>40</v>
      </c>
      <c r="C4902" s="10" t="s">
        <v>26</v>
      </c>
      <c r="D4902" s="10" t="s">
        <v>1</v>
      </c>
      <c r="E4902" s="15">
        <f>9.983-0.298-1.195-0.142-0.138-0.283</f>
        <v>7.9270000000000005</v>
      </c>
    </row>
    <row r="4903" spans="1:5" x14ac:dyDescent="0.3">
      <c r="A4903" s="8">
        <v>426</v>
      </c>
      <c r="B4903" s="8">
        <v>40</v>
      </c>
      <c r="C4903" s="8">
        <v>35</v>
      </c>
      <c r="D4903" s="8" t="s">
        <v>1</v>
      </c>
      <c r="E4903" s="9">
        <v>10</v>
      </c>
    </row>
    <row r="4904" spans="1:5" x14ac:dyDescent="0.3">
      <c r="A4904" s="8">
        <v>426</v>
      </c>
      <c r="B4904" s="8">
        <v>40</v>
      </c>
      <c r="C4904" s="8">
        <v>45</v>
      </c>
      <c r="D4904" s="8" t="s">
        <v>1</v>
      </c>
      <c r="E4904" s="9">
        <f>2.662+9.854-0.598-0.409-1.721-0.806-7.145+10.767</f>
        <v>12.603999999999996</v>
      </c>
    </row>
    <row r="4905" spans="1:5" x14ac:dyDescent="0.3">
      <c r="A4905" s="10">
        <v>426</v>
      </c>
      <c r="B4905" s="10">
        <v>40</v>
      </c>
      <c r="C4905" s="10" t="s">
        <v>28</v>
      </c>
      <c r="D4905" s="10" t="s">
        <v>1</v>
      </c>
      <c r="E4905" s="15">
        <v>4.4749999999999996</v>
      </c>
    </row>
    <row r="4906" spans="1:5" x14ac:dyDescent="0.3">
      <c r="A4906" s="8">
        <v>426</v>
      </c>
      <c r="B4906" s="8">
        <v>40</v>
      </c>
      <c r="C4906" s="8" t="s">
        <v>31</v>
      </c>
      <c r="D4906" s="8" t="s">
        <v>32</v>
      </c>
      <c r="E4906" s="9">
        <f>1.806+1.887</f>
        <v>3.6930000000000001</v>
      </c>
    </row>
    <row r="4907" spans="1:5" x14ac:dyDescent="0.3">
      <c r="A4907" s="8">
        <v>426</v>
      </c>
      <c r="B4907" s="8">
        <v>42</v>
      </c>
      <c r="C4907" s="8" t="s">
        <v>35</v>
      </c>
      <c r="D4907" s="8" t="s">
        <v>32</v>
      </c>
      <c r="E4907" s="9">
        <v>10</v>
      </c>
    </row>
    <row r="4908" spans="1:5" x14ac:dyDescent="0.3">
      <c r="A4908" s="8">
        <v>426</v>
      </c>
      <c r="B4908" s="8">
        <v>42</v>
      </c>
      <c r="C4908" s="8" t="s">
        <v>31</v>
      </c>
      <c r="D4908" s="8" t="s">
        <v>32</v>
      </c>
      <c r="E4908" s="9">
        <f>2.352-0.448</f>
        <v>1.9039999999999999</v>
      </c>
    </row>
    <row r="4909" spans="1:5" x14ac:dyDescent="0.3">
      <c r="A4909" s="10">
        <v>426</v>
      </c>
      <c r="B4909" s="10">
        <v>45</v>
      </c>
      <c r="C4909" s="10">
        <v>20</v>
      </c>
      <c r="D4909" s="10" t="s">
        <v>1</v>
      </c>
      <c r="E4909" s="15">
        <f>12.27-0.121-3.976-1.453-0.254-0.628-0.624-0.099</f>
        <v>5.1149999999999975</v>
      </c>
    </row>
    <row r="4910" spans="1:5" x14ac:dyDescent="0.3">
      <c r="A4910" s="10">
        <v>426</v>
      </c>
      <c r="B4910" s="10">
        <v>45</v>
      </c>
      <c r="C4910" s="10" t="s">
        <v>26</v>
      </c>
      <c r="D4910" s="10" t="s">
        <v>1</v>
      </c>
      <c r="E4910" s="15">
        <f>17.11-1.75-0.125-2.33-2.287-0.443-1.397</f>
        <v>8.7779999999999987</v>
      </c>
    </row>
    <row r="4911" spans="1:5" x14ac:dyDescent="0.3">
      <c r="A4911" s="8">
        <v>426</v>
      </c>
      <c r="B4911" s="8">
        <v>45</v>
      </c>
      <c r="C4911" s="8">
        <v>35</v>
      </c>
      <c r="D4911" s="8" t="s">
        <v>1</v>
      </c>
      <c r="E4911" s="9">
        <v>5</v>
      </c>
    </row>
    <row r="4912" spans="1:5" x14ac:dyDescent="0.3">
      <c r="A4912" s="8">
        <v>426</v>
      </c>
      <c r="B4912" s="8">
        <v>45</v>
      </c>
      <c r="C4912" s="8">
        <v>45</v>
      </c>
      <c r="D4912" s="8" t="s">
        <v>1</v>
      </c>
      <c r="E4912" s="9">
        <v>5</v>
      </c>
    </row>
    <row r="4913" spans="1:5" x14ac:dyDescent="0.3">
      <c r="A4913" s="10">
        <v>426</v>
      </c>
      <c r="B4913" s="10">
        <v>45</v>
      </c>
      <c r="C4913" s="10" t="s">
        <v>28</v>
      </c>
      <c r="D4913" s="10" t="s">
        <v>1</v>
      </c>
      <c r="E4913" s="15">
        <f>11.73-0.356-0.628-2.899-0.695-3.255+0.146-0.225+7.062</f>
        <v>10.88</v>
      </c>
    </row>
    <row r="4914" spans="1:5" x14ac:dyDescent="0.3">
      <c r="A4914" s="10">
        <v>426</v>
      </c>
      <c r="B4914" s="10">
        <v>45</v>
      </c>
      <c r="C4914" s="10" t="s">
        <v>45</v>
      </c>
      <c r="D4914" s="10" t="s">
        <v>32</v>
      </c>
      <c r="E4914" s="15">
        <f>3.16+3.26</f>
        <v>6.42</v>
      </c>
    </row>
    <row r="4915" spans="1:5" x14ac:dyDescent="0.3">
      <c r="A4915" s="8">
        <v>426</v>
      </c>
      <c r="B4915" s="8">
        <v>45</v>
      </c>
      <c r="C4915" s="8" t="s">
        <v>45</v>
      </c>
      <c r="D4915" s="8" t="s">
        <v>32</v>
      </c>
      <c r="E4915" s="9">
        <v>3.609</v>
      </c>
    </row>
    <row r="4916" spans="1:5" x14ac:dyDescent="0.3">
      <c r="A4916" s="10">
        <v>426</v>
      </c>
      <c r="B4916" s="10">
        <v>50</v>
      </c>
      <c r="C4916" s="10">
        <v>20</v>
      </c>
      <c r="D4916" s="10" t="s">
        <v>1</v>
      </c>
      <c r="E4916" s="15">
        <f>13.838-0.49-0.177-0.307-1.186-0.489-0.791-0.586-0.953-0.489-0.753-0.735-0.66-0.597-2.259</f>
        <v>3.3659999999999966</v>
      </c>
    </row>
    <row r="4917" spans="1:5" x14ac:dyDescent="0.3">
      <c r="A4917" s="10">
        <v>426</v>
      </c>
      <c r="B4917" s="10">
        <v>50</v>
      </c>
      <c r="C4917" s="10" t="s">
        <v>26</v>
      </c>
      <c r="D4917" s="10" t="s">
        <v>64</v>
      </c>
      <c r="E4917" s="15">
        <f>16.478-0.484-0.577-3.286-0.228</f>
        <v>11.903000000000002</v>
      </c>
    </row>
    <row r="4918" spans="1:5" x14ac:dyDescent="0.3">
      <c r="A4918" s="10">
        <v>426</v>
      </c>
      <c r="B4918" s="10">
        <v>50</v>
      </c>
      <c r="C4918" s="10">
        <v>35</v>
      </c>
      <c r="D4918" s="10" t="s">
        <v>1</v>
      </c>
      <c r="E4918" s="15">
        <f>8.576+2.786-1.883-0.075-1.042-0.479-1.827-1.711-1.506</f>
        <v>2.8389999999999995</v>
      </c>
    </row>
    <row r="4919" spans="1:5" x14ac:dyDescent="0.3">
      <c r="A4919" s="8">
        <v>426</v>
      </c>
      <c r="B4919" s="8">
        <v>50</v>
      </c>
      <c r="C4919" s="8">
        <v>45</v>
      </c>
      <c r="D4919" s="8" t="s">
        <v>1</v>
      </c>
      <c r="E4919" s="9">
        <v>10</v>
      </c>
    </row>
    <row r="4920" spans="1:5" x14ac:dyDescent="0.3">
      <c r="A4920" s="8">
        <v>426</v>
      </c>
      <c r="B4920" s="8">
        <v>50</v>
      </c>
      <c r="C4920" s="8" t="s">
        <v>28</v>
      </c>
      <c r="D4920" s="8" t="s">
        <v>1</v>
      </c>
      <c r="E4920" s="9">
        <f>10.228-3.426-1.344</f>
        <v>5.4579999999999993</v>
      </c>
    </row>
    <row r="4921" spans="1:5" x14ac:dyDescent="0.3">
      <c r="A4921" s="8">
        <v>426</v>
      </c>
      <c r="B4921" s="8">
        <v>50</v>
      </c>
      <c r="C4921" s="8" t="s">
        <v>30</v>
      </c>
      <c r="D4921" s="8" t="s">
        <v>1</v>
      </c>
      <c r="E4921" s="9">
        <f>12.259-1.416-0.316-0.785-2.506-0.08-0.251-0.218-0.608-0.724-0.316-1.685-0.734-0.149</f>
        <v>2.4709999999999988</v>
      </c>
    </row>
    <row r="4922" spans="1:5" x14ac:dyDescent="0.3">
      <c r="A4922" s="10">
        <v>426</v>
      </c>
      <c r="B4922" s="10">
        <v>50</v>
      </c>
      <c r="C4922" s="10" t="s">
        <v>31</v>
      </c>
      <c r="D4922" s="10" t="s">
        <v>32</v>
      </c>
      <c r="E4922" s="15">
        <f>3.072+3.021-1.024-0.349-0.525-0.354-0.47</f>
        <v>3.3709999999999996</v>
      </c>
    </row>
    <row r="4923" spans="1:5" x14ac:dyDescent="0.3">
      <c r="A4923" s="10">
        <v>426</v>
      </c>
      <c r="B4923" s="10">
        <v>50</v>
      </c>
      <c r="C4923" s="10" t="s">
        <v>45</v>
      </c>
      <c r="D4923" s="10" t="s">
        <v>32</v>
      </c>
      <c r="E4923" s="15">
        <v>2.8780000000000001</v>
      </c>
    </row>
    <row r="4924" spans="1:5" x14ac:dyDescent="0.3">
      <c r="A4924" s="8">
        <v>426</v>
      </c>
      <c r="B4924" s="8">
        <v>56</v>
      </c>
      <c r="C4924" s="8">
        <v>20</v>
      </c>
      <c r="D4924" s="8" t="s">
        <v>32</v>
      </c>
      <c r="E4924" s="9">
        <v>2.121</v>
      </c>
    </row>
    <row r="4925" spans="1:5" x14ac:dyDescent="0.3">
      <c r="A4925" s="10">
        <v>426</v>
      </c>
      <c r="B4925" s="10">
        <v>56</v>
      </c>
      <c r="C4925" s="10" t="s">
        <v>35</v>
      </c>
      <c r="D4925" s="10" t="s">
        <v>32</v>
      </c>
      <c r="E4925" s="15">
        <f>3.055+3.12-1.745-3.12-0.496-0.323</f>
        <v>0.49100000000000049</v>
      </c>
    </row>
    <row r="4926" spans="1:5" x14ac:dyDescent="0.3">
      <c r="A4926" s="8">
        <v>426</v>
      </c>
      <c r="B4926" s="8">
        <v>56</v>
      </c>
      <c r="C4926" s="8" t="s">
        <v>35</v>
      </c>
      <c r="D4926" s="8" t="s">
        <v>32</v>
      </c>
      <c r="E4926" s="9">
        <v>10</v>
      </c>
    </row>
    <row r="4927" spans="1:5" x14ac:dyDescent="0.3">
      <c r="A4927" s="10">
        <v>426</v>
      </c>
      <c r="B4927" s="10">
        <v>56</v>
      </c>
      <c r="C4927" s="10" t="s">
        <v>45</v>
      </c>
      <c r="D4927" s="10" t="s">
        <v>32</v>
      </c>
      <c r="E4927" s="15">
        <f>6.365+2.525</f>
        <v>8.89</v>
      </c>
    </row>
    <row r="4928" spans="1:5" x14ac:dyDescent="0.3">
      <c r="A4928" s="8">
        <v>426</v>
      </c>
      <c r="B4928" s="8">
        <v>56</v>
      </c>
      <c r="C4928" s="8" t="s">
        <v>45</v>
      </c>
      <c r="D4928" s="8" t="s">
        <v>32</v>
      </c>
      <c r="E4928" s="9">
        <f>12.731-6.365-2.525</f>
        <v>3.8409999999999997</v>
      </c>
    </row>
    <row r="4929" spans="1:5" x14ac:dyDescent="0.3">
      <c r="A4929" s="10">
        <v>426</v>
      </c>
      <c r="B4929" s="10">
        <v>58</v>
      </c>
      <c r="C4929" s="10" t="s">
        <v>28</v>
      </c>
      <c r="D4929" s="10" t="s">
        <v>1</v>
      </c>
      <c r="E4929" s="15">
        <v>4.2549999999999999</v>
      </c>
    </row>
    <row r="4930" spans="1:5" x14ac:dyDescent="0.3">
      <c r="A4930" s="10">
        <v>426</v>
      </c>
      <c r="B4930" s="10">
        <v>60</v>
      </c>
      <c r="C4930" s="10">
        <v>20</v>
      </c>
      <c r="D4930" s="10" t="s">
        <v>1</v>
      </c>
      <c r="E4930" s="15">
        <f>6.611+6.459-1.097-0.31-1.102-0.158-0.245-0.326-0.831-0.674-0.163-0.326-0.57-0.625-0.332</f>
        <v>6.3110000000000017</v>
      </c>
    </row>
    <row r="4931" spans="1:5" x14ac:dyDescent="0.3">
      <c r="A4931" s="10">
        <v>426</v>
      </c>
      <c r="B4931" s="10">
        <v>60</v>
      </c>
      <c r="C4931" s="10" t="s">
        <v>26</v>
      </c>
      <c r="D4931" s="10" t="s">
        <v>1</v>
      </c>
      <c r="E4931" s="15">
        <f>3.404+3.256+6.299-0.289-0.142-2.638-1.175-0.098</f>
        <v>8.6169999999999991</v>
      </c>
    </row>
    <row r="4932" spans="1:5" x14ac:dyDescent="0.3">
      <c r="A4932" s="8">
        <v>426</v>
      </c>
      <c r="B4932" s="8">
        <v>60</v>
      </c>
      <c r="C4932" s="8">
        <v>35</v>
      </c>
      <c r="D4932" s="8" t="s">
        <v>1</v>
      </c>
      <c r="E4932" s="9">
        <v>10</v>
      </c>
    </row>
    <row r="4933" spans="1:5" x14ac:dyDescent="0.3">
      <c r="A4933" s="10">
        <v>426</v>
      </c>
      <c r="B4933" s="10">
        <v>60</v>
      </c>
      <c r="C4933" s="10">
        <v>45</v>
      </c>
      <c r="D4933" s="10" t="s">
        <v>1</v>
      </c>
      <c r="E4933" s="15">
        <v>12.255000000000001</v>
      </c>
    </row>
    <row r="4934" spans="1:5" x14ac:dyDescent="0.3">
      <c r="A4934" s="10">
        <v>426</v>
      </c>
      <c r="B4934" s="10">
        <v>60</v>
      </c>
      <c r="C4934" s="10" t="s">
        <v>31</v>
      </c>
      <c r="D4934" s="10" t="s">
        <v>32</v>
      </c>
      <c r="E4934" s="15">
        <f>8.715+2.92+2.839-0.728</f>
        <v>13.746</v>
      </c>
    </row>
    <row r="4935" spans="1:5" x14ac:dyDescent="0.3">
      <c r="A4935" s="10">
        <v>426</v>
      </c>
      <c r="B4935" s="10">
        <v>60</v>
      </c>
      <c r="C4935" s="10" t="s">
        <v>45</v>
      </c>
      <c r="D4935" s="10" t="s">
        <v>32</v>
      </c>
      <c r="E4935" s="15">
        <f>7.085-3.5+6.77-6.71</f>
        <v>3.6450000000000005</v>
      </c>
    </row>
    <row r="4936" spans="1:5" x14ac:dyDescent="0.3">
      <c r="A4936" s="8">
        <v>426</v>
      </c>
      <c r="B4936" s="8">
        <v>60</v>
      </c>
      <c r="C4936" s="8" t="s">
        <v>45</v>
      </c>
      <c r="D4936" s="8" t="s">
        <v>32</v>
      </c>
      <c r="E4936" s="9">
        <v>20</v>
      </c>
    </row>
    <row r="4937" spans="1:5" x14ac:dyDescent="0.3">
      <c r="A4937" s="10">
        <v>426</v>
      </c>
      <c r="B4937" s="10">
        <v>62</v>
      </c>
      <c r="C4937" s="10" t="s">
        <v>28</v>
      </c>
      <c r="D4937" s="10" t="s">
        <v>1</v>
      </c>
      <c r="E4937" s="15">
        <f>13.26-1.854-3.321-1.849-3.445-1.495+0.07+1.81+2.532-2.116-1.551-1.375</f>
        <v>0.66599999999999948</v>
      </c>
    </row>
    <row r="4938" spans="1:5" x14ac:dyDescent="0.3">
      <c r="A4938" s="10">
        <v>426</v>
      </c>
      <c r="B4938" s="10">
        <v>63</v>
      </c>
      <c r="C4938" s="10" t="s">
        <v>28</v>
      </c>
      <c r="D4938" s="10" t="s">
        <v>1</v>
      </c>
      <c r="E4938" s="15">
        <f>5.668+11.284</f>
        <v>16.952000000000002</v>
      </c>
    </row>
    <row r="4939" spans="1:5" x14ac:dyDescent="0.3">
      <c r="A4939" s="8">
        <v>426</v>
      </c>
      <c r="B4939" s="8">
        <v>65</v>
      </c>
      <c r="C4939" s="8">
        <v>20</v>
      </c>
      <c r="D4939" s="8" t="s">
        <v>1</v>
      </c>
      <c r="E4939" s="9">
        <f>3.48+2.976+3.524-0.613-0.135-0.158-0.141</f>
        <v>8.9330000000000016</v>
      </c>
    </row>
    <row r="4940" spans="1:5" x14ac:dyDescent="0.3">
      <c r="A4940" s="10">
        <v>426</v>
      </c>
      <c r="B4940" s="10">
        <v>70</v>
      </c>
      <c r="C4940" s="10">
        <v>20</v>
      </c>
      <c r="D4940" s="10" t="s">
        <v>1</v>
      </c>
      <c r="E4940" s="15">
        <f>6.558+6.358</f>
        <v>12.916</v>
      </c>
    </row>
    <row r="4941" spans="1:5" x14ac:dyDescent="0.3">
      <c r="A4941" s="8">
        <v>426</v>
      </c>
      <c r="B4941" s="8">
        <v>70</v>
      </c>
      <c r="C4941" s="8">
        <v>20</v>
      </c>
      <c r="D4941" s="8" t="s">
        <v>32</v>
      </c>
      <c r="E4941" s="9">
        <v>3.6629999999999998</v>
      </c>
    </row>
    <row r="4942" spans="1:5" x14ac:dyDescent="0.3">
      <c r="A4942" s="10">
        <v>426</v>
      </c>
      <c r="B4942" s="10">
        <v>70</v>
      </c>
      <c r="C4942" s="10" t="s">
        <v>26</v>
      </c>
      <c r="D4942" s="10" t="s">
        <v>1</v>
      </c>
      <c r="E4942" s="15">
        <f>2.902+2.291-2.907-0.407-0.764-0.296-0.321</f>
        <v>0.4979999999999995</v>
      </c>
    </row>
    <row r="4943" spans="1:5" x14ac:dyDescent="0.3">
      <c r="A4943" s="10">
        <v>426</v>
      </c>
      <c r="B4943" s="10">
        <v>70</v>
      </c>
      <c r="C4943" s="10" t="s">
        <v>26</v>
      </c>
      <c r="D4943" s="10" t="s">
        <v>64</v>
      </c>
      <c r="E4943" s="15">
        <v>6.6479999999999997</v>
      </c>
    </row>
    <row r="4944" spans="1:5" x14ac:dyDescent="0.3">
      <c r="A4944" s="10">
        <v>426</v>
      </c>
      <c r="B4944" s="10">
        <v>70</v>
      </c>
      <c r="C4944" s="10">
        <v>35</v>
      </c>
      <c r="D4944" s="10" t="s">
        <v>1</v>
      </c>
      <c r="E4944" s="15">
        <f>5.604-0.187+2.827-0.969+3.44-0.478-6.078</f>
        <v>4.1589999999999998</v>
      </c>
    </row>
    <row r="4945" spans="1:5" x14ac:dyDescent="0.3">
      <c r="A4945" s="8">
        <v>426</v>
      </c>
      <c r="B4945" s="8">
        <v>70</v>
      </c>
      <c r="C4945" s="8">
        <v>35</v>
      </c>
      <c r="D4945" s="8" t="s">
        <v>1</v>
      </c>
      <c r="E4945" s="9">
        <v>7</v>
      </c>
    </row>
    <row r="4946" spans="1:5" x14ac:dyDescent="0.3">
      <c r="A4946" s="8">
        <v>426</v>
      </c>
      <c r="B4946" s="8">
        <v>70</v>
      </c>
      <c r="C4946" s="8">
        <v>45</v>
      </c>
      <c r="D4946" s="8" t="s">
        <v>1</v>
      </c>
      <c r="E4946" s="9">
        <v>5</v>
      </c>
    </row>
    <row r="4947" spans="1:5" x14ac:dyDescent="0.3">
      <c r="A4947" s="10">
        <v>426</v>
      </c>
      <c r="B4947" s="10">
        <v>70</v>
      </c>
      <c r="C4947" s="10" t="s">
        <v>28</v>
      </c>
      <c r="D4947" s="10" t="s">
        <v>1</v>
      </c>
      <c r="E4947" s="15">
        <v>10.18</v>
      </c>
    </row>
    <row r="4948" spans="1:5" x14ac:dyDescent="0.3">
      <c r="A4948" s="8">
        <v>426</v>
      </c>
      <c r="B4948" s="8">
        <v>70</v>
      </c>
      <c r="C4948" s="8" t="s">
        <v>45</v>
      </c>
      <c r="D4948" s="8" t="s">
        <v>32</v>
      </c>
      <c r="E4948" s="9">
        <v>5</v>
      </c>
    </row>
    <row r="4949" spans="1:5" x14ac:dyDescent="0.3">
      <c r="A4949" s="10">
        <v>426</v>
      </c>
      <c r="B4949" s="10">
        <v>75</v>
      </c>
      <c r="C4949" s="10">
        <v>35</v>
      </c>
      <c r="D4949" s="10" t="s">
        <v>1</v>
      </c>
      <c r="E4949" s="15">
        <f>10.34-0.418-0.882-0.307</f>
        <v>8.7330000000000005</v>
      </c>
    </row>
    <row r="4950" spans="1:5" x14ac:dyDescent="0.3">
      <c r="A4950" s="10">
        <v>426</v>
      </c>
      <c r="B4950" s="10">
        <v>75</v>
      </c>
      <c r="C4950" s="10" t="s">
        <v>28</v>
      </c>
      <c r="D4950" s="10" t="s">
        <v>1</v>
      </c>
      <c r="E4950" s="15">
        <f>9.612-1.792-3.578+3.404-3.404+6.004-2.873-4.518-0.262+4.42-1.207+8.526-1.484-1.368-3.086-4.346</f>
        <v>4.048</v>
      </c>
    </row>
    <row r="4951" spans="1:5" x14ac:dyDescent="0.3">
      <c r="A4951" s="8">
        <v>426</v>
      </c>
      <c r="B4951" s="8">
        <v>75</v>
      </c>
      <c r="C4951" s="8" t="s">
        <v>28</v>
      </c>
      <c r="D4951" s="8" t="s">
        <v>1</v>
      </c>
      <c r="E4951" s="9">
        <v>5.6420000000000003</v>
      </c>
    </row>
    <row r="4952" spans="1:5" x14ac:dyDescent="0.3">
      <c r="A4952" s="10">
        <v>426</v>
      </c>
      <c r="B4952" s="10">
        <v>80</v>
      </c>
      <c r="C4952" s="10">
        <v>20</v>
      </c>
      <c r="D4952" s="10" t="s">
        <v>1</v>
      </c>
      <c r="E4952" s="15">
        <f>6.866-1.177-0.315-1.949</f>
        <v>3.4249999999999998</v>
      </c>
    </row>
    <row r="4953" spans="1:5" x14ac:dyDescent="0.3">
      <c r="A4953" s="8">
        <v>426</v>
      </c>
      <c r="B4953" s="8">
        <v>80</v>
      </c>
      <c r="C4953" s="8">
        <v>20</v>
      </c>
      <c r="D4953" s="8" t="s">
        <v>1</v>
      </c>
      <c r="E4953" s="9">
        <v>5</v>
      </c>
    </row>
    <row r="4954" spans="1:5" x14ac:dyDescent="0.3">
      <c r="A4954" s="8">
        <v>426</v>
      </c>
      <c r="B4954" s="8">
        <v>80</v>
      </c>
      <c r="C4954" s="8" t="s">
        <v>26</v>
      </c>
      <c r="D4954" s="8" t="s">
        <v>1</v>
      </c>
      <c r="E4954" s="9">
        <f>5.54-1.52-1.204</f>
        <v>2.8159999999999998</v>
      </c>
    </row>
    <row r="4955" spans="1:5" x14ac:dyDescent="0.3">
      <c r="A4955" s="10">
        <v>426</v>
      </c>
      <c r="B4955" s="10">
        <v>90</v>
      </c>
      <c r="C4955" s="10">
        <v>20</v>
      </c>
      <c r="D4955" s="10" t="s">
        <v>1</v>
      </c>
      <c r="E4955" s="15">
        <f>6.052-3.515-0.315-0.516</f>
        <v>1.7059999999999995</v>
      </c>
    </row>
    <row r="4956" spans="1:5" x14ac:dyDescent="0.3">
      <c r="A4956" s="8">
        <v>426</v>
      </c>
      <c r="B4956" s="8">
        <v>90</v>
      </c>
      <c r="C4956" s="8">
        <v>20</v>
      </c>
      <c r="D4956" s="8" t="s">
        <v>1</v>
      </c>
      <c r="E4956" s="9">
        <v>5</v>
      </c>
    </row>
    <row r="4957" spans="1:5" x14ac:dyDescent="0.3">
      <c r="A4957" s="8">
        <v>426</v>
      </c>
      <c r="B4957" s="8">
        <v>90</v>
      </c>
      <c r="C4957" s="8" t="s">
        <v>26</v>
      </c>
      <c r="D4957" s="8" t="s">
        <v>1</v>
      </c>
      <c r="E4957" s="9">
        <v>10.324999999999999</v>
      </c>
    </row>
    <row r="4958" spans="1:5" x14ac:dyDescent="0.3">
      <c r="A4958" s="10">
        <v>426</v>
      </c>
      <c r="B4958" s="10">
        <v>90</v>
      </c>
      <c r="C4958" s="10" t="s">
        <v>45</v>
      </c>
      <c r="D4958" s="10" t="s">
        <v>32</v>
      </c>
      <c r="E4958" s="15">
        <v>6.47</v>
      </c>
    </row>
    <row r="4959" spans="1:5" x14ac:dyDescent="0.3">
      <c r="A4959" s="10">
        <v>440</v>
      </c>
      <c r="B4959" s="10">
        <v>53</v>
      </c>
      <c r="C4959" s="10" t="s">
        <v>28</v>
      </c>
      <c r="D4959" s="10" t="s">
        <v>1</v>
      </c>
      <c r="E4959" s="15">
        <v>4.8860000000000001</v>
      </c>
    </row>
    <row r="4960" spans="1:5" x14ac:dyDescent="0.3">
      <c r="A4960" s="8">
        <v>440</v>
      </c>
      <c r="B4960" s="8">
        <v>56</v>
      </c>
      <c r="C4960" s="8" t="s">
        <v>28</v>
      </c>
      <c r="D4960" s="8" t="s">
        <v>1</v>
      </c>
      <c r="E4960" s="9">
        <f>4.724-0.372-1.03-1.184-0.287-0.351-1.205-0.133</f>
        <v>0.16199999999999992</v>
      </c>
    </row>
    <row r="4961" spans="1:5" x14ac:dyDescent="0.3">
      <c r="A4961" s="8">
        <v>445</v>
      </c>
      <c r="B4961" s="8">
        <v>49</v>
      </c>
      <c r="C4961" s="8" t="s">
        <v>28</v>
      </c>
      <c r="D4961" s="8" t="s">
        <v>1</v>
      </c>
      <c r="E4961" s="9">
        <v>5.9820000000000002</v>
      </c>
    </row>
    <row r="4962" spans="1:5" x14ac:dyDescent="0.3">
      <c r="A4962" s="8">
        <v>445</v>
      </c>
      <c r="B4962" s="8">
        <v>56</v>
      </c>
      <c r="C4962" s="8" t="s">
        <v>28</v>
      </c>
      <c r="D4962" s="8" t="s">
        <v>1</v>
      </c>
      <c r="E4962" s="9">
        <v>6.992</v>
      </c>
    </row>
    <row r="4963" spans="1:5" x14ac:dyDescent="0.3">
      <c r="A4963" s="8">
        <v>450</v>
      </c>
      <c r="B4963" s="8">
        <v>10</v>
      </c>
      <c r="C4963" s="8">
        <v>20</v>
      </c>
      <c r="D4963" s="8" t="s">
        <v>1</v>
      </c>
      <c r="E4963" s="9">
        <v>10</v>
      </c>
    </row>
    <row r="4964" spans="1:5" x14ac:dyDescent="0.3">
      <c r="A4964" s="8">
        <v>450</v>
      </c>
      <c r="B4964" s="8">
        <v>12</v>
      </c>
      <c r="C4964" s="8">
        <v>20</v>
      </c>
      <c r="D4964" s="8" t="s">
        <v>1</v>
      </c>
      <c r="E4964" s="9">
        <v>10</v>
      </c>
    </row>
    <row r="4965" spans="1:5" x14ac:dyDescent="0.3">
      <c r="A4965" s="10">
        <v>450</v>
      </c>
      <c r="B4965" s="10">
        <v>14</v>
      </c>
      <c r="C4965" s="10">
        <v>20</v>
      </c>
      <c r="D4965" s="10" t="s">
        <v>1</v>
      </c>
      <c r="E4965" s="15">
        <f>9.838-0.25-0.145-1.026-0.473-0.168-0.134</f>
        <v>7.6419999999999995</v>
      </c>
    </row>
    <row r="4966" spans="1:5" x14ac:dyDescent="0.3">
      <c r="A4966" s="10">
        <v>450</v>
      </c>
      <c r="B4966" s="10">
        <v>14</v>
      </c>
      <c r="C4966" s="10" t="s">
        <v>26</v>
      </c>
      <c r="D4966" s="10" t="s">
        <v>1</v>
      </c>
      <c r="E4966" s="15">
        <f>6.174+3.146-0.488-0.077-0.165-0.127-0.433-0.449-0.151-0.165</f>
        <v>7.2650000000000015</v>
      </c>
    </row>
    <row r="4967" spans="1:5" x14ac:dyDescent="0.3">
      <c r="A4967" s="10">
        <v>450</v>
      </c>
      <c r="B4967" s="10">
        <v>16</v>
      </c>
      <c r="C4967" s="10">
        <v>20</v>
      </c>
      <c r="D4967" s="10" t="s">
        <v>1</v>
      </c>
      <c r="E4967" s="15">
        <f>1.641+10.548-0.051-0.042-0.458-0.529-0.705-0.444-0.357-0.303-0.214-0.216-0.529-0.054-0.112-2.057-1.588</f>
        <v>4.5299999999999985</v>
      </c>
    </row>
    <row r="4968" spans="1:5" x14ac:dyDescent="0.3">
      <c r="A4968" s="10">
        <v>450</v>
      </c>
      <c r="B4968" s="10">
        <v>16</v>
      </c>
      <c r="C4968" s="10" t="s">
        <v>26</v>
      </c>
      <c r="D4968" s="10" t="s">
        <v>1</v>
      </c>
      <c r="E4968" s="15">
        <f>8.219+3.994-0.716-0.185-2.98-8.221+1.552-0.27</f>
        <v>1.3929999999999989</v>
      </c>
    </row>
    <row r="4969" spans="1:5" x14ac:dyDescent="0.3">
      <c r="A4969" s="10">
        <v>450</v>
      </c>
      <c r="B4969" s="10">
        <v>16</v>
      </c>
      <c r="C4969" s="10" t="s">
        <v>26</v>
      </c>
      <c r="D4969" s="10" t="s">
        <v>64</v>
      </c>
      <c r="E4969" s="15">
        <f>8.102+3.246</f>
        <v>11.348000000000001</v>
      </c>
    </row>
    <row r="4970" spans="1:5" x14ac:dyDescent="0.3">
      <c r="A4970" s="8">
        <v>450</v>
      </c>
      <c r="B4970" s="8">
        <v>18</v>
      </c>
      <c r="C4970" s="8">
        <v>20</v>
      </c>
      <c r="D4970" s="8" t="s">
        <v>20</v>
      </c>
      <c r="E4970" s="9">
        <v>1.2649999999999999</v>
      </c>
    </row>
    <row r="4971" spans="1:5" x14ac:dyDescent="0.3">
      <c r="A4971" s="10">
        <v>450</v>
      </c>
      <c r="B4971" s="10">
        <v>20</v>
      </c>
      <c r="C4971" s="10">
        <v>20</v>
      </c>
      <c r="D4971" s="10" t="s">
        <v>1</v>
      </c>
      <c r="E4971" s="15">
        <f>5.166-0.32-3.192</f>
        <v>1.6539999999999999</v>
      </c>
    </row>
    <row r="4972" spans="1:5" x14ac:dyDescent="0.3">
      <c r="A4972" s="8">
        <v>450</v>
      </c>
      <c r="B4972" s="8">
        <v>20</v>
      </c>
      <c r="C4972" s="8">
        <v>20</v>
      </c>
      <c r="D4972" s="8" t="s">
        <v>1</v>
      </c>
      <c r="E4972" s="9">
        <v>7</v>
      </c>
    </row>
    <row r="4973" spans="1:5" x14ac:dyDescent="0.3">
      <c r="A4973" s="10">
        <v>450</v>
      </c>
      <c r="B4973" s="10">
        <v>20</v>
      </c>
      <c r="C4973" s="10" t="s">
        <v>26</v>
      </c>
      <c r="D4973" s="10" t="s">
        <v>1</v>
      </c>
      <c r="E4973" s="15">
        <f>5.06-0.218-0.218</f>
        <v>4.6239999999999997</v>
      </c>
    </row>
    <row r="4974" spans="1:5" x14ac:dyDescent="0.3">
      <c r="A4974" s="8">
        <v>450</v>
      </c>
      <c r="B4974" s="8">
        <v>20</v>
      </c>
      <c r="C4974" s="8" t="s">
        <v>26</v>
      </c>
      <c r="D4974" s="8" t="s">
        <v>1</v>
      </c>
      <c r="E4974" s="9">
        <v>4.1980000000000004</v>
      </c>
    </row>
    <row r="4975" spans="1:5" x14ac:dyDescent="0.3">
      <c r="A4975" s="10">
        <v>450</v>
      </c>
      <c r="B4975" s="10">
        <v>22</v>
      </c>
      <c r="C4975" s="10">
        <v>45</v>
      </c>
      <c r="D4975" s="10" t="s">
        <v>1</v>
      </c>
      <c r="E4975" s="15">
        <f>7.7-2.026-0.152-0.124+0.068-0.245-0.23+0.24-0.068-0.24</f>
        <v>4.923</v>
      </c>
    </row>
    <row r="4976" spans="1:5" x14ac:dyDescent="0.3">
      <c r="A4976" s="10">
        <v>450</v>
      </c>
      <c r="B4976" s="10">
        <v>25</v>
      </c>
      <c r="C4976" s="10">
        <v>20</v>
      </c>
      <c r="D4976" s="10" t="s">
        <v>1</v>
      </c>
      <c r="E4976" s="15">
        <f>5.96-0.118-0.151-0.652-2.041-0.909-0.135-0.369</f>
        <v>1.5849999999999995</v>
      </c>
    </row>
    <row r="4977" spans="1:5" x14ac:dyDescent="0.3">
      <c r="A4977" s="8">
        <v>450</v>
      </c>
      <c r="B4977" s="8">
        <v>25</v>
      </c>
      <c r="C4977" s="8">
        <v>20</v>
      </c>
      <c r="D4977" s="8" t="s">
        <v>1</v>
      </c>
      <c r="E4977" s="9">
        <v>7</v>
      </c>
    </row>
    <row r="4978" spans="1:5" x14ac:dyDescent="0.3">
      <c r="A4978" s="10">
        <v>450</v>
      </c>
      <c r="B4978" s="10">
        <v>25</v>
      </c>
      <c r="C4978" s="10" t="s">
        <v>26</v>
      </c>
      <c r="D4978" s="10" t="s">
        <v>1</v>
      </c>
      <c r="E4978" s="15">
        <f>2.664+4.548-0.089-0.051-1.728-0.418-0.22-2.121</f>
        <v>2.5849999999999995</v>
      </c>
    </row>
    <row r="4979" spans="1:5" x14ac:dyDescent="0.3">
      <c r="A4979" s="10">
        <v>450</v>
      </c>
      <c r="B4979" s="10">
        <v>28</v>
      </c>
      <c r="C4979" s="10" t="s">
        <v>28</v>
      </c>
      <c r="D4979" s="10" t="s">
        <v>1</v>
      </c>
      <c r="E4979" s="15">
        <f>6.447-0.074-0.188-0.068-2.867</f>
        <v>3.2500000000000009</v>
      </c>
    </row>
    <row r="4980" spans="1:5" x14ac:dyDescent="0.3">
      <c r="A4980" s="10">
        <v>450</v>
      </c>
      <c r="B4980" s="10">
        <v>30</v>
      </c>
      <c r="C4980" s="10">
        <v>20</v>
      </c>
      <c r="D4980" s="10" t="s">
        <v>1</v>
      </c>
      <c r="E4980" s="15">
        <f>5.824-2.918-0.365-0.297</f>
        <v>2.2439999999999993</v>
      </c>
    </row>
    <row r="4981" spans="1:5" x14ac:dyDescent="0.3">
      <c r="A4981" s="8">
        <v>450</v>
      </c>
      <c r="B4981" s="8">
        <v>30</v>
      </c>
      <c r="C4981" s="13" t="s">
        <v>26</v>
      </c>
      <c r="D4981" s="8" t="s">
        <v>1</v>
      </c>
      <c r="E4981" s="9">
        <f>2.707-0.327-0.215-1.151+8.785-0.103-0.159-0.165-0.389-2.831-0.573-0.109-0.104-0.172</f>
        <v>5.1940000000000008</v>
      </c>
    </row>
    <row r="4982" spans="1:5" x14ac:dyDescent="0.3">
      <c r="A4982" s="10">
        <v>450</v>
      </c>
      <c r="B4982" s="10">
        <v>32</v>
      </c>
      <c r="C4982" s="10">
        <v>20</v>
      </c>
      <c r="D4982" s="10" t="s">
        <v>20</v>
      </c>
      <c r="E4982" s="15">
        <v>1.6240000000000001</v>
      </c>
    </row>
    <row r="4983" spans="1:5" x14ac:dyDescent="0.3">
      <c r="A4983" s="10">
        <v>450</v>
      </c>
      <c r="B4983" s="10">
        <v>36</v>
      </c>
      <c r="C4983" s="10">
        <v>20</v>
      </c>
      <c r="D4983" s="10" t="s">
        <v>1</v>
      </c>
      <c r="E4983" s="15">
        <f>6.894-0.665</f>
        <v>6.2290000000000001</v>
      </c>
    </row>
    <row r="4984" spans="1:5" x14ac:dyDescent="0.3">
      <c r="A4984" s="10">
        <v>450</v>
      </c>
      <c r="B4984" s="10">
        <v>36</v>
      </c>
      <c r="C4984" s="10" t="s">
        <v>26</v>
      </c>
      <c r="D4984" s="10" t="s">
        <v>1</v>
      </c>
      <c r="E4984" s="15">
        <f>4.927-0.1-0.222-2.722</f>
        <v>1.8829999999999996</v>
      </c>
    </row>
    <row r="4985" spans="1:5" x14ac:dyDescent="0.3">
      <c r="A4985" s="8">
        <v>450</v>
      </c>
      <c r="B4985" s="8">
        <v>36</v>
      </c>
      <c r="C4985" s="8" t="s">
        <v>26</v>
      </c>
      <c r="D4985" s="8" t="s">
        <v>1</v>
      </c>
      <c r="E4985" s="9">
        <v>10.205</v>
      </c>
    </row>
    <row r="4986" spans="1:5" x14ac:dyDescent="0.3">
      <c r="A4986" s="8">
        <v>450</v>
      </c>
      <c r="B4986" s="8">
        <v>36</v>
      </c>
      <c r="C4986" s="8">
        <v>45</v>
      </c>
      <c r="D4986" s="8" t="s">
        <v>1</v>
      </c>
      <c r="E4986" s="9">
        <v>10</v>
      </c>
    </row>
    <row r="4987" spans="1:5" x14ac:dyDescent="0.3">
      <c r="A4987" s="10">
        <v>450</v>
      </c>
      <c r="B4987" s="10">
        <v>40</v>
      </c>
      <c r="C4987" s="10">
        <v>10</v>
      </c>
      <c r="D4987" s="10" t="s">
        <v>1</v>
      </c>
      <c r="E4987" s="15">
        <f>2.819+2.483-2.819-0.385-0.057</f>
        <v>2.0409999999999999</v>
      </c>
    </row>
    <row r="4988" spans="1:5" x14ac:dyDescent="0.3">
      <c r="A4988" s="10">
        <v>450</v>
      </c>
      <c r="B4988" s="10">
        <v>40</v>
      </c>
      <c r="C4988" s="10" t="s">
        <v>26</v>
      </c>
      <c r="D4988" s="10" t="s">
        <v>1</v>
      </c>
      <c r="E4988" s="15">
        <f>6.014-0.13+2.22+3.65-1.33-0.14-0.462+2.47</f>
        <v>12.292000000000002</v>
      </c>
    </row>
    <row r="4989" spans="1:5" x14ac:dyDescent="0.3">
      <c r="A4989" s="8">
        <v>450</v>
      </c>
      <c r="B4989" s="8">
        <v>40</v>
      </c>
      <c r="C4989" s="8">
        <v>35</v>
      </c>
      <c r="D4989" s="8" t="s">
        <v>1</v>
      </c>
      <c r="E4989" s="9">
        <f>7.676-2.739-0.702-0.69</f>
        <v>3.5450000000000004</v>
      </c>
    </row>
    <row r="4990" spans="1:5" x14ac:dyDescent="0.3">
      <c r="A4990" s="10">
        <v>450</v>
      </c>
      <c r="B4990" s="10">
        <v>42</v>
      </c>
      <c r="C4990" s="10" t="s">
        <v>28</v>
      </c>
      <c r="D4990" s="10" t="s">
        <v>1</v>
      </c>
      <c r="E4990" s="15">
        <f>9.335-0.481</f>
        <v>8.854000000000001</v>
      </c>
    </row>
    <row r="4991" spans="1:5" x14ac:dyDescent="0.3">
      <c r="A4991" s="10">
        <v>450</v>
      </c>
      <c r="B4991" s="10">
        <v>50</v>
      </c>
      <c r="C4991" s="10">
        <v>20</v>
      </c>
      <c r="D4991" s="10" t="s">
        <v>1</v>
      </c>
      <c r="E4991" s="15">
        <f>6.776-0.247-0.504-0.223-0.262-0.42-0.307-0.228</f>
        <v>4.5850000000000009</v>
      </c>
    </row>
    <row r="4992" spans="1:5" x14ac:dyDescent="0.3">
      <c r="A4992" s="10">
        <v>450</v>
      </c>
      <c r="B4992" s="10">
        <v>50</v>
      </c>
      <c r="C4992" s="10" t="s">
        <v>26</v>
      </c>
      <c r="D4992" s="10" t="s">
        <v>2</v>
      </c>
      <c r="E4992" s="15">
        <f>10.645-3.525-0.506-0.481-0.174-1.166-0.268-0.119</f>
        <v>4.4059999999999997</v>
      </c>
    </row>
    <row r="4993" spans="1:5" x14ac:dyDescent="0.3">
      <c r="A4993" s="8">
        <v>450</v>
      </c>
      <c r="B4993" s="8">
        <v>56</v>
      </c>
      <c r="C4993" s="8" t="s">
        <v>30</v>
      </c>
      <c r="D4993" s="8" t="s">
        <v>44</v>
      </c>
      <c r="E4993" s="9">
        <f>3.064-0.661</f>
        <v>2.403</v>
      </c>
    </row>
    <row r="4994" spans="1:5" x14ac:dyDescent="0.3">
      <c r="A4994" s="10">
        <v>450</v>
      </c>
      <c r="B4994" s="10">
        <v>60</v>
      </c>
      <c r="C4994" s="10">
        <v>20</v>
      </c>
      <c r="D4994" s="10" t="s">
        <v>1</v>
      </c>
      <c r="E4994" s="15">
        <f>6.115-0.33+0.039-0.114</f>
        <v>5.71</v>
      </c>
    </row>
    <row r="4995" spans="1:5" x14ac:dyDescent="0.3">
      <c r="A4995" s="10">
        <v>450</v>
      </c>
      <c r="B4995" s="10">
        <v>60</v>
      </c>
      <c r="C4995" s="10" t="s">
        <v>26</v>
      </c>
      <c r="D4995" s="10" t="s">
        <v>64</v>
      </c>
      <c r="E4995" s="15">
        <f>6.362+3.1-0.608</f>
        <v>8.8539999999999992</v>
      </c>
    </row>
    <row r="4996" spans="1:5" x14ac:dyDescent="0.3">
      <c r="A4996" s="10">
        <v>450</v>
      </c>
      <c r="B4996" s="10">
        <v>60</v>
      </c>
      <c r="C4996" s="10" t="s">
        <v>26</v>
      </c>
      <c r="D4996" s="10" t="s">
        <v>1</v>
      </c>
      <c r="E4996" s="15">
        <v>1.4710000000000001</v>
      </c>
    </row>
    <row r="4997" spans="1:5" x14ac:dyDescent="0.3">
      <c r="A4997" s="10">
        <v>450</v>
      </c>
      <c r="B4997" s="10">
        <v>63</v>
      </c>
      <c r="C4997" s="10" t="s">
        <v>28</v>
      </c>
      <c r="D4997" s="10" t="s">
        <v>1</v>
      </c>
      <c r="E4997" s="15">
        <v>10.78</v>
      </c>
    </row>
    <row r="4998" spans="1:5" x14ac:dyDescent="0.3">
      <c r="A4998" s="8">
        <v>450</v>
      </c>
      <c r="B4998" s="8">
        <v>70</v>
      </c>
      <c r="C4998" s="8">
        <v>20</v>
      </c>
      <c r="D4998" s="8" t="s">
        <v>1</v>
      </c>
      <c r="E4998" s="9">
        <v>7</v>
      </c>
    </row>
    <row r="4999" spans="1:5" x14ac:dyDescent="0.3">
      <c r="A4999" s="10">
        <v>450</v>
      </c>
      <c r="B4999" s="10">
        <v>70</v>
      </c>
      <c r="C4999" s="10" t="s">
        <v>26</v>
      </c>
      <c r="D4999" s="10" t="s">
        <v>1</v>
      </c>
      <c r="E4999" s="15">
        <f>3.57+3.45-0.671-0.139-0.119</f>
        <v>6.0909999999999993</v>
      </c>
    </row>
    <row r="5000" spans="1:5" x14ac:dyDescent="0.3">
      <c r="A5000" s="10">
        <v>450</v>
      </c>
      <c r="B5000" s="10">
        <v>90</v>
      </c>
      <c r="C5000" s="10" t="s">
        <v>26</v>
      </c>
      <c r="D5000" s="10" t="s">
        <v>1</v>
      </c>
      <c r="E5000" s="15">
        <f>6.8-0.433-2.947</f>
        <v>3.42</v>
      </c>
    </row>
    <row r="5001" spans="1:5" x14ac:dyDescent="0.3">
      <c r="A5001" s="10">
        <v>457.2</v>
      </c>
      <c r="B5001" s="10">
        <v>7.92</v>
      </c>
      <c r="C5001" s="10" t="s">
        <v>26</v>
      </c>
      <c r="D5001" s="10" t="s">
        <v>7</v>
      </c>
      <c r="E5001" s="15">
        <f>1.953+1.004-2.069</f>
        <v>0.8879999999999999</v>
      </c>
    </row>
    <row r="5002" spans="1:5" x14ac:dyDescent="0.3">
      <c r="A5002" s="10">
        <v>457</v>
      </c>
      <c r="B5002" s="10">
        <v>8</v>
      </c>
      <c r="C5002" s="10" t="s">
        <v>26</v>
      </c>
      <c r="D5002" s="10" t="s">
        <v>1</v>
      </c>
      <c r="E5002" s="15">
        <v>1.1599999999999999</v>
      </c>
    </row>
    <row r="5003" spans="1:5" x14ac:dyDescent="0.3">
      <c r="A5003" s="10">
        <v>457</v>
      </c>
      <c r="B5003" s="10">
        <v>10</v>
      </c>
      <c r="C5003" s="10">
        <v>20</v>
      </c>
      <c r="D5003" s="10" t="s">
        <v>1</v>
      </c>
      <c r="E5003" s="15">
        <f>1.3+3.842-0.119-0.037-1.309-0.457-0.343-1.312-0.229-0.128</f>
        <v>1.2080000000000006</v>
      </c>
    </row>
    <row r="5004" spans="1:5" x14ac:dyDescent="0.3">
      <c r="A5004" s="8">
        <v>457</v>
      </c>
      <c r="B5004" s="8">
        <v>10</v>
      </c>
      <c r="C5004" s="8">
        <v>20</v>
      </c>
      <c r="D5004" s="8" t="s">
        <v>1</v>
      </c>
      <c r="E5004" s="9">
        <v>10</v>
      </c>
    </row>
    <row r="5005" spans="1:5" x14ac:dyDescent="0.3">
      <c r="A5005" s="10">
        <v>457</v>
      </c>
      <c r="B5005" s="10">
        <v>11</v>
      </c>
      <c r="C5005" s="10" t="s">
        <v>26</v>
      </c>
      <c r="D5005" s="10" t="s">
        <v>22</v>
      </c>
      <c r="E5005" s="15">
        <f>13.421+3.691+0.211-12.4-1.228</f>
        <v>3.6949999999999967</v>
      </c>
    </row>
    <row r="5006" spans="1:5" x14ac:dyDescent="0.3">
      <c r="A5006" s="10">
        <v>457</v>
      </c>
      <c r="B5006" s="10">
        <v>12</v>
      </c>
      <c r="C5006" s="10">
        <v>20</v>
      </c>
      <c r="D5006" s="10" t="s">
        <v>1</v>
      </c>
      <c r="E5006" s="15">
        <f>4.855-1.092-0.283-0.036</f>
        <v>3.4440000000000004</v>
      </c>
    </row>
    <row r="5007" spans="1:5" x14ac:dyDescent="0.3">
      <c r="A5007" s="10">
        <v>457</v>
      </c>
      <c r="B5007" s="10">
        <v>12</v>
      </c>
      <c r="C5007" s="10" t="s">
        <v>26</v>
      </c>
      <c r="D5007" s="10" t="s">
        <v>1</v>
      </c>
      <c r="E5007" s="15">
        <f>0.67+4.283+2.21-0.135-0.72-0.371-0.191-0.144+0.714-0.074-0.029-0.348</f>
        <v>5.8650000000000011</v>
      </c>
    </row>
    <row r="5008" spans="1:5" x14ac:dyDescent="0.3">
      <c r="A5008" s="10">
        <v>457.2</v>
      </c>
      <c r="B5008" s="10">
        <v>12.7</v>
      </c>
      <c r="C5008" s="10" t="s">
        <v>139</v>
      </c>
      <c r="D5008" s="10" t="s">
        <v>114</v>
      </c>
      <c r="E5008" s="15">
        <v>1.51</v>
      </c>
    </row>
    <row r="5009" spans="1:5" x14ac:dyDescent="0.3">
      <c r="A5009" s="8">
        <v>457</v>
      </c>
      <c r="B5009" s="8">
        <v>14</v>
      </c>
      <c r="C5009" s="8" t="s">
        <v>26</v>
      </c>
      <c r="D5009" s="8" t="s">
        <v>1</v>
      </c>
      <c r="E5009" s="9">
        <f>3.905-0.105+2.055</f>
        <v>5.8550000000000004</v>
      </c>
    </row>
    <row r="5010" spans="1:5" x14ac:dyDescent="0.3">
      <c r="A5010" s="8">
        <v>457</v>
      </c>
      <c r="B5010" s="8">
        <v>16</v>
      </c>
      <c r="C5010" s="8">
        <v>20</v>
      </c>
      <c r="D5010" s="8" t="s">
        <v>1</v>
      </c>
      <c r="E5010" s="9">
        <v>20</v>
      </c>
    </row>
    <row r="5011" spans="1:5" x14ac:dyDescent="0.3">
      <c r="A5011" s="10">
        <v>457</v>
      </c>
      <c r="B5011" s="10">
        <v>16</v>
      </c>
      <c r="C5011" s="10" t="s">
        <v>26</v>
      </c>
      <c r="D5011" s="10" t="s">
        <v>64</v>
      </c>
      <c r="E5011" s="15">
        <f>1.398-0.14</f>
        <v>1.258</v>
      </c>
    </row>
    <row r="5012" spans="1:5" x14ac:dyDescent="0.3">
      <c r="A5012" s="10">
        <v>457</v>
      </c>
      <c r="B5012" s="10">
        <v>16</v>
      </c>
      <c r="C5012" s="10" t="s">
        <v>26</v>
      </c>
      <c r="D5012" s="10" t="s">
        <v>1</v>
      </c>
      <c r="E5012" s="15">
        <f>3.47+4.832-1.49+8.304+4.722</f>
        <v>19.838000000000001</v>
      </c>
    </row>
    <row r="5013" spans="1:5" x14ac:dyDescent="0.3">
      <c r="A5013" s="10">
        <v>457</v>
      </c>
      <c r="B5013" s="10">
        <v>19</v>
      </c>
      <c r="C5013" s="10" t="s">
        <v>26</v>
      </c>
      <c r="D5013" s="10" t="s">
        <v>1</v>
      </c>
      <c r="E5013" s="15">
        <v>1.76</v>
      </c>
    </row>
    <row r="5014" spans="1:5" x14ac:dyDescent="0.3">
      <c r="A5014" s="8">
        <v>457</v>
      </c>
      <c r="B5014" s="8">
        <v>20</v>
      </c>
      <c r="C5014" s="8">
        <v>20</v>
      </c>
      <c r="D5014" s="8" t="s">
        <v>1</v>
      </c>
      <c r="E5014" s="9">
        <v>5</v>
      </c>
    </row>
    <row r="5015" spans="1:5" x14ac:dyDescent="0.3">
      <c r="A5015" s="10">
        <v>457</v>
      </c>
      <c r="B5015" s="10">
        <v>20</v>
      </c>
      <c r="C5015" s="10" t="s">
        <v>26</v>
      </c>
      <c r="D5015" s="10" t="s">
        <v>22</v>
      </c>
      <c r="E5015" s="15">
        <v>0.433</v>
      </c>
    </row>
    <row r="5016" spans="1:5" x14ac:dyDescent="0.3">
      <c r="A5016" s="10">
        <v>457</v>
      </c>
      <c r="B5016" s="10">
        <v>20</v>
      </c>
      <c r="C5016" s="10" t="s">
        <v>26</v>
      </c>
      <c r="D5016" s="10" t="s">
        <v>1</v>
      </c>
      <c r="E5016" s="15">
        <f>9.85-8.142-0.374</f>
        <v>1.3340000000000001</v>
      </c>
    </row>
    <row r="5017" spans="1:5" x14ac:dyDescent="0.3">
      <c r="A5017" s="8">
        <v>457</v>
      </c>
      <c r="B5017" s="8">
        <v>20</v>
      </c>
      <c r="C5017" s="8" t="s">
        <v>200</v>
      </c>
      <c r="D5017" s="8" t="s">
        <v>1</v>
      </c>
      <c r="E5017" s="9">
        <v>15</v>
      </c>
    </row>
    <row r="5018" spans="1:5" x14ac:dyDescent="0.3">
      <c r="A5018" s="10">
        <v>457</v>
      </c>
      <c r="B5018" s="10">
        <v>25</v>
      </c>
      <c r="C5018" s="10">
        <v>20</v>
      </c>
      <c r="D5018" s="10" t="s">
        <v>1</v>
      </c>
      <c r="E5018" s="15">
        <f>2.77+2.695-0.547-1.076-1.492-0.278-0.067-2.161+0.25</f>
        <v>9.3999999999999861E-2</v>
      </c>
    </row>
    <row r="5019" spans="1:5" x14ac:dyDescent="0.3">
      <c r="A5019" s="8">
        <v>457</v>
      </c>
      <c r="B5019" s="8">
        <v>25</v>
      </c>
      <c r="C5019" s="8">
        <v>20</v>
      </c>
      <c r="D5019" s="8" t="s">
        <v>1</v>
      </c>
      <c r="E5019" s="9">
        <v>10</v>
      </c>
    </row>
    <row r="5020" spans="1:5" x14ac:dyDescent="0.3">
      <c r="A5020" s="8">
        <v>457</v>
      </c>
      <c r="B5020" s="8">
        <v>25</v>
      </c>
      <c r="C5020" s="8" t="s">
        <v>200</v>
      </c>
      <c r="D5020" s="8" t="s">
        <v>1</v>
      </c>
      <c r="E5020" s="9">
        <v>10</v>
      </c>
    </row>
    <row r="5021" spans="1:5" x14ac:dyDescent="0.3">
      <c r="A5021" s="10">
        <v>457</v>
      </c>
      <c r="B5021" s="10">
        <v>28</v>
      </c>
      <c r="C5021" s="10">
        <v>20</v>
      </c>
      <c r="D5021" s="10" t="s">
        <v>1</v>
      </c>
      <c r="E5021" s="15">
        <f>2.888-0.441-0.218-0.638</f>
        <v>1.5910000000000002</v>
      </c>
    </row>
    <row r="5022" spans="1:5" x14ac:dyDescent="0.3">
      <c r="A5022" s="10">
        <v>457</v>
      </c>
      <c r="B5022" s="10">
        <v>28.5</v>
      </c>
      <c r="C5022" s="10" t="s">
        <v>26</v>
      </c>
      <c r="D5022" s="10" t="s">
        <v>25</v>
      </c>
      <c r="E5022" s="15">
        <v>6.1909999999999998</v>
      </c>
    </row>
    <row r="5023" spans="1:5" x14ac:dyDescent="0.3">
      <c r="A5023" s="10">
        <v>457</v>
      </c>
      <c r="B5023" s="10">
        <v>30</v>
      </c>
      <c r="C5023" s="10">
        <v>20</v>
      </c>
      <c r="D5023" s="10" t="s">
        <v>1</v>
      </c>
      <c r="E5023" s="15">
        <f>7.08-0.348-0.144-0.141-0.233-0.268-0.141</f>
        <v>5.8050000000000006</v>
      </c>
    </row>
    <row r="5024" spans="1:5" x14ac:dyDescent="0.3">
      <c r="A5024" s="10">
        <v>457</v>
      </c>
      <c r="B5024" s="10">
        <v>30</v>
      </c>
      <c r="C5024" s="10" t="s">
        <v>26</v>
      </c>
      <c r="D5024" s="10" t="s">
        <v>22</v>
      </c>
      <c r="E5024" s="15">
        <v>0.39900000000000002</v>
      </c>
    </row>
    <row r="5025" spans="1:5" x14ac:dyDescent="0.3">
      <c r="A5025" s="10">
        <v>457</v>
      </c>
      <c r="B5025" s="10">
        <v>30</v>
      </c>
      <c r="C5025" s="10" t="s">
        <v>26</v>
      </c>
      <c r="D5025" s="10" t="s">
        <v>1</v>
      </c>
      <c r="E5025" s="15">
        <f>11.491-4.442-2.335-0.504-0.112-0.76-0.342-0.175-0.67-0.674-0.668-0.079</f>
        <v>0.72999999999999943</v>
      </c>
    </row>
    <row r="5026" spans="1:5" x14ac:dyDescent="0.3">
      <c r="A5026" s="10">
        <v>457</v>
      </c>
      <c r="B5026" s="10">
        <v>30</v>
      </c>
      <c r="C5026" s="10" t="s">
        <v>26</v>
      </c>
      <c r="D5026" s="10" t="s">
        <v>1</v>
      </c>
      <c r="E5026" s="15">
        <v>0.36799999999999999</v>
      </c>
    </row>
    <row r="5027" spans="1:5" x14ac:dyDescent="0.3">
      <c r="A5027" s="10">
        <v>457</v>
      </c>
      <c r="B5027" s="10">
        <v>32</v>
      </c>
      <c r="C5027" s="10" t="s">
        <v>26</v>
      </c>
      <c r="D5027" s="10" t="s">
        <v>1</v>
      </c>
      <c r="E5027" s="15">
        <v>3.169</v>
      </c>
    </row>
    <row r="5028" spans="1:5" x14ac:dyDescent="0.3">
      <c r="A5028" s="10">
        <v>457</v>
      </c>
      <c r="B5028" s="10">
        <v>34</v>
      </c>
      <c r="C5028" s="10" t="s">
        <v>26</v>
      </c>
      <c r="D5028" s="10" t="s">
        <v>1</v>
      </c>
      <c r="E5028" s="15">
        <f>9.466+2.294-0.168-0.51-0.079</f>
        <v>11.003</v>
      </c>
    </row>
    <row r="5029" spans="1:5" x14ac:dyDescent="0.3">
      <c r="A5029" s="10">
        <v>457</v>
      </c>
      <c r="B5029" s="10">
        <v>35</v>
      </c>
      <c r="C5029" s="10" t="s">
        <v>26</v>
      </c>
      <c r="D5029" s="10" t="s">
        <v>22</v>
      </c>
      <c r="E5029" s="15">
        <v>1.006</v>
      </c>
    </row>
    <row r="5030" spans="1:5" x14ac:dyDescent="0.3">
      <c r="A5030" s="8">
        <v>457</v>
      </c>
      <c r="B5030" s="8">
        <v>36</v>
      </c>
      <c r="C5030" s="8">
        <v>20</v>
      </c>
      <c r="D5030" s="8" t="s">
        <v>1</v>
      </c>
      <c r="E5030" s="9">
        <v>5</v>
      </c>
    </row>
    <row r="5031" spans="1:5" x14ac:dyDescent="0.3">
      <c r="A5031" s="8">
        <v>457</v>
      </c>
      <c r="B5031" s="8">
        <v>40</v>
      </c>
      <c r="C5031" s="8">
        <v>20</v>
      </c>
      <c r="D5031" s="8" t="s">
        <v>1</v>
      </c>
      <c r="E5031" s="9">
        <v>10</v>
      </c>
    </row>
    <row r="5032" spans="1:5" x14ac:dyDescent="0.3">
      <c r="A5032" s="10">
        <v>457</v>
      </c>
      <c r="B5032" s="10">
        <v>40</v>
      </c>
      <c r="C5032" s="10" t="s">
        <v>26</v>
      </c>
      <c r="D5032" s="10" t="s">
        <v>1</v>
      </c>
      <c r="E5032" s="15">
        <f>12.019-1.765-2.062</f>
        <v>8.1920000000000002</v>
      </c>
    </row>
    <row r="5033" spans="1:5" x14ac:dyDescent="0.3">
      <c r="A5033" s="10">
        <v>457</v>
      </c>
      <c r="B5033" s="10">
        <v>50</v>
      </c>
      <c r="C5033" s="10">
        <v>20</v>
      </c>
      <c r="D5033" s="10" t="s">
        <v>1</v>
      </c>
      <c r="E5033" s="15">
        <f>3.438+3.034-0.218</f>
        <v>6.2539999999999996</v>
      </c>
    </row>
    <row r="5034" spans="1:5" x14ac:dyDescent="0.3">
      <c r="A5034" s="10">
        <v>457</v>
      </c>
      <c r="B5034" s="10">
        <v>50</v>
      </c>
      <c r="C5034" s="10" t="s">
        <v>26</v>
      </c>
      <c r="D5034" s="10" t="s">
        <v>1</v>
      </c>
      <c r="E5034" s="15">
        <f>12.612-7.66-0.314</f>
        <v>4.6379999999999999</v>
      </c>
    </row>
    <row r="5035" spans="1:5" x14ac:dyDescent="0.3">
      <c r="A5035" s="10">
        <v>457</v>
      </c>
      <c r="B5035" s="10">
        <v>50</v>
      </c>
      <c r="C5035" s="10" t="s">
        <v>28</v>
      </c>
      <c r="D5035" s="10" t="s">
        <v>1</v>
      </c>
      <c r="E5035" s="15">
        <f>19.21+19.208-19.1-9.65+16.53-0.52+8.16-1.04</f>
        <v>32.798000000000002</v>
      </c>
    </row>
    <row r="5036" spans="1:5" x14ac:dyDescent="0.3">
      <c r="A5036" s="8">
        <v>457</v>
      </c>
      <c r="B5036" s="8">
        <v>60</v>
      </c>
      <c r="C5036" s="8">
        <v>20</v>
      </c>
      <c r="D5036" s="8" t="s">
        <v>1</v>
      </c>
      <c r="E5036" s="9">
        <v>5</v>
      </c>
    </row>
    <row r="5037" spans="1:5" x14ac:dyDescent="0.3">
      <c r="A5037" s="10">
        <v>457</v>
      </c>
      <c r="B5037" s="10">
        <v>60</v>
      </c>
      <c r="C5037" s="10" t="s">
        <v>26</v>
      </c>
      <c r="D5037" s="10" t="s">
        <v>1</v>
      </c>
      <c r="E5037" s="15">
        <f>10.126-0.274-0.128-0.286-2.006-0.274-0.511-0.639-0.639-0.924-0.402-0.321</f>
        <v>3.7219999999999991</v>
      </c>
    </row>
    <row r="5038" spans="1:5" x14ac:dyDescent="0.3">
      <c r="A5038" s="10">
        <v>457</v>
      </c>
      <c r="B5038" s="10">
        <v>70</v>
      </c>
      <c r="C5038" s="10" t="s">
        <v>26</v>
      </c>
      <c r="D5038" s="10" t="s">
        <v>1</v>
      </c>
      <c r="E5038" s="15">
        <v>5.7220000000000004</v>
      </c>
    </row>
    <row r="5039" spans="1:5" x14ac:dyDescent="0.3">
      <c r="A5039" s="10">
        <v>457</v>
      </c>
      <c r="B5039" s="10">
        <v>90</v>
      </c>
      <c r="C5039" s="10" t="s">
        <v>26</v>
      </c>
      <c r="D5039" s="10" t="s">
        <v>1</v>
      </c>
      <c r="E5039" s="15">
        <f>3.335+3.115</f>
        <v>6.45</v>
      </c>
    </row>
    <row r="5040" spans="1:5" x14ac:dyDescent="0.3">
      <c r="A5040" s="10">
        <v>460</v>
      </c>
      <c r="B5040" s="10">
        <v>10</v>
      </c>
      <c r="C5040" s="10" t="s">
        <v>47</v>
      </c>
      <c r="D5040" s="10" t="s">
        <v>1</v>
      </c>
      <c r="E5040" s="15">
        <v>1.1299999999999999</v>
      </c>
    </row>
    <row r="5041" spans="1:5" x14ac:dyDescent="0.3">
      <c r="A5041" s="10">
        <v>465</v>
      </c>
      <c r="B5041" s="10">
        <v>10</v>
      </c>
      <c r="C5041" s="10">
        <v>20</v>
      </c>
      <c r="D5041" s="10" t="s">
        <v>1</v>
      </c>
      <c r="E5041" s="15">
        <f>5.49-0.04-0.518-0.244</f>
        <v>4.6880000000000006</v>
      </c>
    </row>
    <row r="5042" spans="1:5" x14ac:dyDescent="0.3">
      <c r="A5042" s="8">
        <v>465</v>
      </c>
      <c r="B5042" s="8">
        <v>12</v>
      </c>
      <c r="C5042" s="8" t="s">
        <v>26</v>
      </c>
      <c r="D5042" s="8" t="s">
        <v>1</v>
      </c>
      <c r="E5042" s="9">
        <f>4.81-0.219</f>
        <v>4.5909999999999993</v>
      </c>
    </row>
    <row r="5043" spans="1:5" x14ac:dyDescent="0.3">
      <c r="A5043" s="10">
        <v>465</v>
      </c>
      <c r="B5043" s="10">
        <v>14</v>
      </c>
      <c r="C5043" s="10">
        <v>20</v>
      </c>
      <c r="D5043" s="10" t="s">
        <v>1</v>
      </c>
      <c r="E5043" s="15">
        <f>5.65-0.598</f>
        <v>5.0520000000000005</v>
      </c>
    </row>
    <row r="5044" spans="1:5" x14ac:dyDescent="0.3">
      <c r="A5044" s="10">
        <v>465</v>
      </c>
      <c r="B5044" s="10">
        <v>16</v>
      </c>
      <c r="C5044" s="10">
        <v>20</v>
      </c>
      <c r="D5044" s="10" t="s">
        <v>1</v>
      </c>
      <c r="E5044" s="15">
        <v>3.92</v>
      </c>
    </row>
    <row r="5045" spans="1:5" x14ac:dyDescent="0.3">
      <c r="A5045" s="8">
        <v>465</v>
      </c>
      <c r="B5045" s="8">
        <v>16</v>
      </c>
      <c r="C5045" s="8">
        <v>20</v>
      </c>
      <c r="D5045" s="8" t="s">
        <v>1</v>
      </c>
      <c r="E5045" s="9">
        <v>2.3719999999999999</v>
      </c>
    </row>
    <row r="5046" spans="1:5" x14ac:dyDescent="0.3">
      <c r="A5046" s="10">
        <v>465</v>
      </c>
      <c r="B5046" s="10">
        <v>16</v>
      </c>
      <c r="C5046" s="10">
        <v>20</v>
      </c>
      <c r="D5046" s="10" t="s">
        <v>32</v>
      </c>
      <c r="E5046" s="15">
        <f>10.397+1.488-1.609-1.488-5.205-1.781</f>
        <v>1.8020000000000003</v>
      </c>
    </row>
    <row r="5047" spans="1:5" x14ac:dyDescent="0.3">
      <c r="A5047" s="8">
        <v>465</v>
      </c>
      <c r="B5047" s="8">
        <v>16</v>
      </c>
      <c r="C5047" s="8">
        <v>20</v>
      </c>
      <c r="D5047" s="8" t="s">
        <v>32</v>
      </c>
      <c r="E5047" s="9">
        <v>10</v>
      </c>
    </row>
    <row r="5048" spans="1:5" x14ac:dyDescent="0.3">
      <c r="A5048" s="10">
        <v>465</v>
      </c>
      <c r="B5048" s="10">
        <v>17</v>
      </c>
      <c r="C5048" s="10">
        <v>20</v>
      </c>
      <c r="D5048" s="10" t="s">
        <v>32</v>
      </c>
      <c r="E5048" s="15">
        <v>0.96499999999999997</v>
      </c>
    </row>
    <row r="5049" spans="1:5" x14ac:dyDescent="0.3">
      <c r="A5049" s="8">
        <v>465</v>
      </c>
      <c r="B5049" s="8">
        <v>18</v>
      </c>
      <c r="C5049" s="8">
        <v>20</v>
      </c>
      <c r="D5049" s="8" t="s">
        <v>1</v>
      </c>
      <c r="E5049" s="9">
        <f>4.154+4.304-0.206-5.686-0.07-0.068-0.142</f>
        <v>2.2860000000000009</v>
      </c>
    </row>
    <row r="5050" spans="1:5" x14ac:dyDescent="0.3">
      <c r="A5050" s="10">
        <v>465</v>
      </c>
      <c r="B5050" s="10">
        <v>18</v>
      </c>
      <c r="C5050" s="10" t="s">
        <v>31</v>
      </c>
      <c r="D5050" s="10" t="s">
        <v>32</v>
      </c>
      <c r="E5050" s="15">
        <v>2.9</v>
      </c>
    </row>
    <row r="5051" spans="1:5" x14ac:dyDescent="0.3">
      <c r="A5051" s="10">
        <v>465</v>
      </c>
      <c r="B5051" s="10">
        <v>19</v>
      </c>
      <c r="C5051" s="10" t="s">
        <v>31</v>
      </c>
      <c r="D5051" s="10" t="s">
        <v>32</v>
      </c>
      <c r="E5051" s="15">
        <v>7.81</v>
      </c>
    </row>
    <row r="5052" spans="1:5" x14ac:dyDescent="0.3">
      <c r="A5052" s="10">
        <v>465</v>
      </c>
      <c r="B5052" s="10">
        <v>19</v>
      </c>
      <c r="C5052" s="10" t="s">
        <v>31</v>
      </c>
      <c r="D5052" s="10" t="s">
        <v>32</v>
      </c>
      <c r="E5052" s="15">
        <f>4.41-0.104</f>
        <v>4.306</v>
      </c>
    </row>
    <row r="5053" spans="1:5" x14ac:dyDescent="0.3">
      <c r="A5053" s="8">
        <v>465</v>
      </c>
      <c r="B5053" s="8">
        <v>20</v>
      </c>
      <c r="C5053" s="8">
        <v>20</v>
      </c>
      <c r="D5053" s="8" t="s">
        <v>1</v>
      </c>
      <c r="E5053" s="9">
        <f>2.333+3.156+1.608-3.301-0.086+0.086-0.077-0.605-0.815</f>
        <v>2.2990000000000013</v>
      </c>
    </row>
    <row r="5054" spans="1:5" x14ac:dyDescent="0.3">
      <c r="A5054" s="10">
        <v>465</v>
      </c>
      <c r="B5054" s="10">
        <v>20</v>
      </c>
      <c r="C5054" s="10" t="s">
        <v>26</v>
      </c>
      <c r="D5054" s="10" t="s">
        <v>1</v>
      </c>
      <c r="E5054" s="15">
        <f>4.196-0.343-0.453-1.261+5.506-1.528+0.36</f>
        <v>6.4770000000000012</v>
      </c>
    </row>
    <row r="5055" spans="1:5" x14ac:dyDescent="0.3">
      <c r="A5055" s="10">
        <v>465</v>
      </c>
      <c r="B5055" s="10">
        <v>20</v>
      </c>
      <c r="C5055" s="10" t="s">
        <v>26</v>
      </c>
      <c r="D5055" s="10" t="s">
        <v>1</v>
      </c>
      <c r="E5055" s="15">
        <f>4.033-0.453-0.475-0.39-0.541-0.124-0.36</f>
        <v>1.6900000000000004</v>
      </c>
    </row>
    <row r="5056" spans="1:5" x14ac:dyDescent="0.3">
      <c r="A5056" s="8">
        <v>465</v>
      </c>
      <c r="B5056" s="8">
        <v>22</v>
      </c>
      <c r="C5056" s="8">
        <v>20</v>
      </c>
      <c r="D5056" s="8" t="s">
        <v>32</v>
      </c>
      <c r="E5056" s="9">
        <v>5</v>
      </c>
    </row>
    <row r="5057" spans="1:5" x14ac:dyDescent="0.3">
      <c r="A5057" s="8">
        <v>465</v>
      </c>
      <c r="B5057" s="8">
        <v>22</v>
      </c>
      <c r="C5057" s="8" t="s">
        <v>31</v>
      </c>
      <c r="D5057" s="8" t="s">
        <v>32</v>
      </c>
      <c r="E5057" s="9">
        <v>10</v>
      </c>
    </row>
    <row r="5058" spans="1:5" x14ac:dyDescent="0.3">
      <c r="A5058" s="10">
        <v>465</v>
      </c>
      <c r="B5058" s="10">
        <v>22</v>
      </c>
      <c r="C5058" s="10" t="s">
        <v>45</v>
      </c>
      <c r="D5058" s="10" t="s">
        <v>32</v>
      </c>
      <c r="E5058" s="15">
        <v>0.99099999999999999</v>
      </c>
    </row>
    <row r="5059" spans="1:5" x14ac:dyDescent="0.3">
      <c r="A5059" s="10">
        <v>465</v>
      </c>
      <c r="B5059" s="10">
        <v>25</v>
      </c>
      <c r="C5059" s="10">
        <v>20</v>
      </c>
      <c r="D5059" s="10" t="s">
        <v>1</v>
      </c>
      <c r="E5059" s="15">
        <f>5.178-0.049-0.072-0.585-0.101-0.3-2.608</f>
        <v>1.4629999999999996</v>
      </c>
    </row>
    <row r="5060" spans="1:5" x14ac:dyDescent="0.3">
      <c r="A5060" s="8">
        <v>465</v>
      </c>
      <c r="B5060" s="8">
        <v>25</v>
      </c>
      <c r="C5060" s="8">
        <v>20</v>
      </c>
      <c r="D5060" s="8" t="s">
        <v>1</v>
      </c>
      <c r="E5060" s="9">
        <v>10</v>
      </c>
    </row>
    <row r="5061" spans="1:5" x14ac:dyDescent="0.3">
      <c r="A5061" s="10">
        <v>465</v>
      </c>
      <c r="B5061" s="10">
        <v>25</v>
      </c>
      <c r="C5061" s="10" t="s">
        <v>26</v>
      </c>
      <c r="D5061" s="10" t="s">
        <v>1</v>
      </c>
      <c r="E5061" s="15">
        <f>14.754-2.988</f>
        <v>11.766</v>
      </c>
    </row>
    <row r="5062" spans="1:5" x14ac:dyDescent="0.3">
      <c r="A5062" s="10">
        <v>465</v>
      </c>
      <c r="B5062" s="10">
        <v>27</v>
      </c>
      <c r="C5062" s="10" t="s">
        <v>30</v>
      </c>
      <c r="D5062" s="13" t="s">
        <v>44</v>
      </c>
      <c r="E5062" s="15">
        <f>1.57+0.837+0.833-0.326-0.195-0.05-0.044</f>
        <v>2.6250000000000004</v>
      </c>
    </row>
    <row r="5063" spans="1:5" x14ac:dyDescent="0.3">
      <c r="A5063" s="8">
        <v>465</v>
      </c>
      <c r="B5063" s="8">
        <v>28</v>
      </c>
      <c r="C5063" s="8" t="s">
        <v>26</v>
      </c>
      <c r="D5063" s="8" t="s">
        <v>1</v>
      </c>
      <c r="E5063" s="9">
        <v>10.195</v>
      </c>
    </row>
    <row r="5064" spans="1:5" x14ac:dyDescent="0.3">
      <c r="A5064" s="10">
        <v>465</v>
      </c>
      <c r="B5064" s="10">
        <v>30</v>
      </c>
      <c r="C5064" s="10">
        <v>20</v>
      </c>
      <c r="D5064" s="10" t="s">
        <v>1</v>
      </c>
      <c r="E5064" s="15">
        <f>6.262-1.006-0.153-0.844-0.378-0.732-0.381-0.841-0.156</f>
        <v>1.770999999999999</v>
      </c>
    </row>
    <row r="5065" spans="1:5" x14ac:dyDescent="0.3">
      <c r="A5065" s="8">
        <v>465</v>
      </c>
      <c r="B5065" s="8">
        <v>30</v>
      </c>
      <c r="C5065" s="8">
        <v>20</v>
      </c>
      <c r="D5065" s="8" t="s">
        <v>1</v>
      </c>
      <c r="E5065" s="9">
        <v>10</v>
      </c>
    </row>
    <row r="5066" spans="1:5" x14ac:dyDescent="0.3">
      <c r="A5066" s="8">
        <v>465</v>
      </c>
      <c r="B5066" s="8">
        <v>30</v>
      </c>
      <c r="C5066" s="8" t="s">
        <v>30</v>
      </c>
      <c r="D5066" s="8" t="s">
        <v>44</v>
      </c>
      <c r="E5066" s="9">
        <f>3.711+1.691-1.096-0.339-0.097</f>
        <v>3.87</v>
      </c>
    </row>
    <row r="5067" spans="1:5" x14ac:dyDescent="0.3">
      <c r="A5067" s="8">
        <v>465</v>
      </c>
      <c r="B5067" s="8">
        <v>30</v>
      </c>
      <c r="C5067" s="8" t="s">
        <v>31</v>
      </c>
      <c r="D5067" s="8" t="s">
        <v>32</v>
      </c>
      <c r="E5067" s="9">
        <v>5</v>
      </c>
    </row>
    <row r="5068" spans="1:5" x14ac:dyDescent="0.3">
      <c r="A5068" s="10">
        <v>465</v>
      </c>
      <c r="B5068" s="10">
        <v>32</v>
      </c>
      <c r="C5068" s="10" t="s">
        <v>26</v>
      </c>
      <c r="D5068" s="10" t="s">
        <v>64</v>
      </c>
      <c r="E5068" s="15">
        <f>5.692+2.806+2.926</f>
        <v>11.424000000000001</v>
      </c>
    </row>
    <row r="5069" spans="1:5" x14ac:dyDescent="0.3">
      <c r="A5069" s="8">
        <v>465</v>
      </c>
      <c r="B5069" s="8">
        <v>32</v>
      </c>
      <c r="C5069" s="8" t="s">
        <v>45</v>
      </c>
      <c r="D5069" s="8" t="s">
        <v>32</v>
      </c>
      <c r="E5069" s="9">
        <f>2.115+1.673-0.092</f>
        <v>3.6960000000000002</v>
      </c>
    </row>
    <row r="5070" spans="1:5" x14ac:dyDescent="0.3">
      <c r="A5070" s="10">
        <v>465</v>
      </c>
      <c r="B5070" s="10">
        <v>36</v>
      </c>
      <c r="C5070" s="10">
        <v>20</v>
      </c>
      <c r="D5070" s="10" t="s">
        <v>1</v>
      </c>
      <c r="E5070" s="15">
        <f>6.872-0.171+0.035-0.683-0.117-0.214-0.21-3.542-0.68-0.4-0.675</f>
        <v>0.21499999999999952</v>
      </c>
    </row>
    <row r="5071" spans="1:5" x14ac:dyDescent="0.3">
      <c r="A5071" s="8">
        <v>465</v>
      </c>
      <c r="B5071" s="8">
        <v>36</v>
      </c>
      <c r="C5071" s="8">
        <v>20</v>
      </c>
      <c r="D5071" s="8" t="s">
        <v>1</v>
      </c>
      <c r="E5071" s="9">
        <v>10</v>
      </c>
    </row>
    <row r="5072" spans="1:5" x14ac:dyDescent="0.3">
      <c r="A5072" s="8">
        <v>465</v>
      </c>
      <c r="B5072" s="8">
        <v>40</v>
      </c>
      <c r="C5072" s="8">
        <v>20</v>
      </c>
      <c r="D5072" s="8" t="s">
        <v>1</v>
      </c>
      <c r="E5072" s="9">
        <v>10</v>
      </c>
    </row>
    <row r="5073" spans="1:5" x14ac:dyDescent="0.3">
      <c r="A5073" s="8">
        <v>465</v>
      </c>
      <c r="B5073" s="8">
        <v>40</v>
      </c>
      <c r="C5073" s="8" t="s">
        <v>31</v>
      </c>
      <c r="D5073" s="8" t="s">
        <v>32</v>
      </c>
      <c r="E5073" s="9">
        <v>5</v>
      </c>
    </row>
    <row r="5074" spans="1:5" x14ac:dyDescent="0.3">
      <c r="A5074" s="8">
        <v>465</v>
      </c>
      <c r="B5074" s="8">
        <v>42</v>
      </c>
      <c r="C5074" s="8" t="s">
        <v>26</v>
      </c>
      <c r="D5074" s="8" t="s">
        <v>1</v>
      </c>
      <c r="E5074" s="9">
        <v>6.91</v>
      </c>
    </row>
    <row r="5075" spans="1:5" x14ac:dyDescent="0.3">
      <c r="A5075" s="8">
        <v>465</v>
      </c>
      <c r="B5075" s="8">
        <v>42</v>
      </c>
      <c r="C5075" s="8" t="s">
        <v>28</v>
      </c>
      <c r="D5075" s="8" t="s">
        <v>1</v>
      </c>
      <c r="E5075" s="9">
        <f>45.566+2.05+1.277-0.848-0.9-1.168-1.339-0.497-1.12-0.663-0.672-0.971-0.975</f>
        <v>39.740000000000016</v>
      </c>
    </row>
    <row r="5076" spans="1:5" x14ac:dyDescent="0.3">
      <c r="A5076" s="8">
        <v>465</v>
      </c>
      <c r="B5076" s="8">
        <v>50</v>
      </c>
      <c r="C5076" s="8">
        <v>20</v>
      </c>
      <c r="D5076" s="8" t="s">
        <v>1</v>
      </c>
      <c r="E5076" s="9">
        <f>2.934+5.975-0.124-0.376</f>
        <v>8.4089999999999989</v>
      </c>
    </row>
    <row r="5077" spans="1:5" x14ac:dyDescent="0.3">
      <c r="A5077" s="8">
        <v>465</v>
      </c>
      <c r="B5077" s="8">
        <v>50</v>
      </c>
      <c r="C5077" s="8" t="s">
        <v>26</v>
      </c>
      <c r="D5077" s="8" t="s">
        <v>1</v>
      </c>
      <c r="E5077" s="9">
        <v>4.4400000000000004</v>
      </c>
    </row>
    <row r="5078" spans="1:5" x14ac:dyDescent="0.3">
      <c r="A5078" s="8">
        <v>465</v>
      </c>
      <c r="B5078" s="8">
        <v>53</v>
      </c>
      <c r="C5078" s="8" t="s">
        <v>30</v>
      </c>
      <c r="D5078" s="8" t="s">
        <v>1</v>
      </c>
      <c r="E5078" s="9">
        <f>15.716+2.959-4.081-7.789-0.308-1.466-1.186-0.292+3.054+3.062-3.666-0.582-1.678-0.466</f>
        <v>3.2770000000000001</v>
      </c>
    </row>
    <row r="5079" spans="1:5" x14ac:dyDescent="0.3">
      <c r="A5079" s="8">
        <v>465</v>
      </c>
      <c r="B5079" s="8">
        <v>60</v>
      </c>
      <c r="C5079" s="8">
        <v>20</v>
      </c>
      <c r="D5079" s="8" t="s">
        <v>1</v>
      </c>
      <c r="E5079" s="9">
        <v>5</v>
      </c>
    </row>
    <row r="5080" spans="1:5" x14ac:dyDescent="0.3">
      <c r="A5080" s="10">
        <v>465</v>
      </c>
      <c r="B5080" s="10">
        <v>60</v>
      </c>
      <c r="C5080" s="10" t="s">
        <v>26</v>
      </c>
      <c r="D5080" s="10" t="s">
        <v>1</v>
      </c>
      <c r="E5080" s="15">
        <v>10.5</v>
      </c>
    </row>
    <row r="5081" spans="1:5" x14ac:dyDescent="0.3">
      <c r="A5081" s="8">
        <v>465</v>
      </c>
      <c r="B5081" s="8">
        <v>60</v>
      </c>
      <c r="C5081" s="8" t="s">
        <v>26</v>
      </c>
      <c r="D5081" s="8" t="s">
        <v>1</v>
      </c>
      <c r="E5081" s="9">
        <f>20.73-10.5</f>
        <v>10.23</v>
      </c>
    </row>
    <row r="5082" spans="1:5" x14ac:dyDescent="0.3">
      <c r="A5082" s="8">
        <v>465</v>
      </c>
      <c r="B5082" s="8">
        <v>60</v>
      </c>
      <c r="C5082" s="8" t="s">
        <v>35</v>
      </c>
      <c r="D5082" s="8" t="s">
        <v>32</v>
      </c>
      <c r="E5082" s="9">
        <v>7</v>
      </c>
    </row>
    <row r="5083" spans="1:5" x14ac:dyDescent="0.3">
      <c r="A5083" s="10">
        <v>465</v>
      </c>
      <c r="B5083" s="10">
        <v>60</v>
      </c>
      <c r="C5083" s="10" t="s">
        <v>45</v>
      </c>
      <c r="D5083" s="10" t="s">
        <v>32</v>
      </c>
      <c r="E5083" s="15">
        <v>2.71</v>
      </c>
    </row>
    <row r="5084" spans="1:5" x14ac:dyDescent="0.3">
      <c r="A5084" s="8">
        <v>465</v>
      </c>
      <c r="B5084" s="8">
        <v>65</v>
      </c>
      <c r="C5084" s="8">
        <v>20</v>
      </c>
      <c r="D5084" s="8" t="s">
        <v>32</v>
      </c>
      <c r="E5084" s="9">
        <v>2.1139999999999999</v>
      </c>
    </row>
    <row r="5085" spans="1:5" x14ac:dyDescent="0.3">
      <c r="A5085" s="8">
        <v>465</v>
      </c>
      <c r="B5085" s="8">
        <v>65</v>
      </c>
      <c r="C5085" s="8" t="s">
        <v>28</v>
      </c>
      <c r="D5085" s="8" t="s">
        <v>1</v>
      </c>
      <c r="E5085" s="9">
        <f>11.498-5.855</f>
        <v>5.6429999999999989</v>
      </c>
    </row>
    <row r="5086" spans="1:5" x14ac:dyDescent="0.3">
      <c r="A5086" s="8">
        <v>465</v>
      </c>
      <c r="B5086" s="8">
        <v>65</v>
      </c>
      <c r="C5086" s="8" t="s">
        <v>45</v>
      </c>
      <c r="D5086" s="8" t="s">
        <v>32</v>
      </c>
      <c r="E5086" s="9">
        <v>3.45</v>
      </c>
    </row>
    <row r="5087" spans="1:5" x14ac:dyDescent="0.3">
      <c r="A5087" s="10">
        <v>465</v>
      </c>
      <c r="B5087" s="10">
        <v>70</v>
      </c>
      <c r="C5087" s="10">
        <v>20</v>
      </c>
      <c r="D5087" s="10" t="s">
        <v>1</v>
      </c>
      <c r="E5087" s="15">
        <v>5.86</v>
      </c>
    </row>
    <row r="5088" spans="1:5" x14ac:dyDescent="0.3">
      <c r="A5088" s="8">
        <v>465</v>
      </c>
      <c r="B5088" s="8">
        <v>70</v>
      </c>
      <c r="C5088" s="8" t="s">
        <v>35</v>
      </c>
      <c r="D5088" s="8" t="s">
        <v>32</v>
      </c>
      <c r="E5088" s="9">
        <v>3.544</v>
      </c>
    </row>
    <row r="5089" spans="1:5" x14ac:dyDescent="0.3">
      <c r="A5089" s="8">
        <v>465</v>
      </c>
      <c r="B5089" s="8">
        <v>75</v>
      </c>
      <c r="C5089" s="8" t="s">
        <v>45</v>
      </c>
      <c r="D5089" s="8" t="s">
        <v>32</v>
      </c>
      <c r="E5089" s="9">
        <v>10</v>
      </c>
    </row>
    <row r="5090" spans="1:5" x14ac:dyDescent="0.3">
      <c r="A5090" s="10">
        <v>465</v>
      </c>
      <c r="B5090" s="10">
        <v>80</v>
      </c>
      <c r="C5090" s="10">
        <v>20</v>
      </c>
      <c r="D5090" s="10" t="s">
        <v>1</v>
      </c>
      <c r="E5090" s="15">
        <f>3.51+3.397-3.397</f>
        <v>3.5100000000000002</v>
      </c>
    </row>
    <row r="5091" spans="1:5" x14ac:dyDescent="0.3">
      <c r="A5091" s="10">
        <v>465</v>
      </c>
      <c r="B5091" s="10">
        <v>90</v>
      </c>
      <c r="C5091" s="10" t="s">
        <v>26</v>
      </c>
      <c r="D5091" s="10" t="s">
        <v>1</v>
      </c>
      <c r="E5091" s="15">
        <v>6.46</v>
      </c>
    </row>
    <row r="5092" spans="1:5" x14ac:dyDescent="0.3">
      <c r="A5092" s="10">
        <v>475</v>
      </c>
      <c r="B5092" s="10">
        <v>45</v>
      </c>
      <c r="C5092" s="10" t="s">
        <v>28</v>
      </c>
      <c r="D5092" s="10" t="s">
        <v>1</v>
      </c>
      <c r="E5092" s="15">
        <v>5.0449999999999999</v>
      </c>
    </row>
    <row r="5093" spans="1:5" x14ac:dyDescent="0.3">
      <c r="A5093" s="8">
        <v>480</v>
      </c>
      <c r="B5093" s="8">
        <v>10</v>
      </c>
      <c r="C5093" s="8">
        <v>20</v>
      </c>
      <c r="D5093" s="8" t="s">
        <v>1</v>
      </c>
      <c r="E5093" s="9">
        <v>10</v>
      </c>
    </row>
    <row r="5094" spans="1:5" x14ac:dyDescent="0.3">
      <c r="A5094" s="10">
        <v>480</v>
      </c>
      <c r="B5094" s="10">
        <v>10</v>
      </c>
      <c r="C5094" s="10" t="s">
        <v>26</v>
      </c>
      <c r="D5094" s="10" t="s">
        <v>1</v>
      </c>
      <c r="E5094" s="15">
        <f>7.745+5.085+1.265-1.306-0.72-0.215-0.373-1.331-1.41-0.191-0.094</f>
        <v>8.4550000000000018</v>
      </c>
    </row>
    <row r="5095" spans="1:5" x14ac:dyDescent="0.3">
      <c r="A5095" s="8">
        <v>480</v>
      </c>
      <c r="B5095" s="8">
        <v>12</v>
      </c>
      <c r="C5095" s="8">
        <v>20</v>
      </c>
      <c r="D5095" s="8" t="s">
        <v>1</v>
      </c>
      <c r="E5095" s="9">
        <f>3.855-0.444-3.258-0.064-0.081</f>
        <v>8.000000000000021E-3</v>
      </c>
    </row>
    <row r="5096" spans="1:5" x14ac:dyDescent="0.3">
      <c r="A5096" s="8">
        <v>480</v>
      </c>
      <c r="B5096" s="8">
        <v>12</v>
      </c>
      <c r="C5096" s="8">
        <v>20</v>
      </c>
      <c r="D5096" s="8" t="s">
        <v>1</v>
      </c>
      <c r="E5096" s="9">
        <v>10</v>
      </c>
    </row>
    <row r="5097" spans="1:5" x14ac:dyDescent="0.3">
      <c r="A5097" s="8">
        <v>480</v>
      </c>
      <c r="B5097" s="8">
        <v>12</v>
      </c>
      <c r="C5097" s="8" t="s">
        <v>26</v>
      </c>
      <c r="D5097" s="8" t="s">
        <v>1</v>
      </c>
      <c r="E5097" s="9">
        <f>11.172</f>
        <v>11.172000000000001</v>
      </c>
    </row>
    <row r="5098" spans="1:5" x14ac:dyDescent="0.3">
      <c r="A5098" s="10">
        <v>480</v>
      </c>
      <c r="B5098" s="10">
        <v>14</v>
      </c>
      <c r="C5098" s="10">
        <v>20</v>
      </c>
      <c r="D5098" s="10" t="s">
        <v>1</v>
      </c>
      <c r="E5098" s="15">
        <f>7.535-1.145+3.105-1.712-1.182-0.106-0.263-0.427-0.425-0.089-0.192-0.115</f>
        <v>4.9840000000000009</v>
      </c>
    </row>
    <row r="5099" spans="1:5" x14ac:dyDescent="0.3">
      <c r="A5099" s="10">
        <v>480</v>
      </c>
      <c r="B5099" s="10">
        <v>14</v>
      </c>
      <c r="C5099" s="10" t="s">
        <v>26</v>
      </c>
      <c r="D5099" s="10" t="s">
        <v>1</v>
      </c>
      <c r="E5099" s="15">
        <f>10.81+3.62-1.465</f>
        <v>12.965</v>
      </c>
    </row>
    <row r="5100" spans="1:5" x14ac:dyDescent="0.3">
      <c r="A5100" s="8">
        <v>480</v>
      </c>
      <c r="B5100" s="8">
        <v>16</v>
      </c>
      <c r="C5100" s="8">
        <v>20</v>
      </c>
      <c r="D5100" s="8" t="s">
        <v>1</v>
      </c>
      <c r="E5100" s="9">
        <v>10</v>
      </c>
    </row>
    <row r="5101" spans="1:5" x14ac:dyDescent="0.3">
      <c r="A5101" s="10">
        <v>480</v>
      </c>
      <c r="B5101" s="10">
        <v>16</v>
      </c>
      <c r="C5101" s="10" t="s">
        <v>26</v>
      </c>
      <c r="D5101" s="10" t="s">
        <v>1</v>
      </c>
      <c r="E5101" s="15">
        <f>2.245+8.74-0.74-0.027-0.359-0.172-0.065-0.172-0.041</f>
        <v>9.4089999999999989</v>
      </c>
    </row>
    <row r="5102" spans="1:5" x14ac:dyDescent="0.3">
      <c r="A5102" s="8">
        <v>480</v>
      </c>
      <c r="B5102" s="8">
        <v>20</v>
      </c>
      <c r="C5102" s="8">
        <v>20</v>
      </c>
      <c r="D5102" s="8" t="s">
        <v>1</v>
      </c>
      <c r="E5102" s="9">
        <v>5</v>
      </c>
    </row>
    <row r="5103" spans="1:5" x14ac:dyDescent="0.3">
      <c r="A5103" s="10">
        <v>480</v>
      </c>
      <c r="B5103" s="10">
        <v>20</v>
      </c>
      <c r="C5103" s="10" t="s">
        <v>26</v>
      </c>
      <c r="D5103" s="10" t="s">
        <v>1</v>
      </c>
      <c r="E5103" s="15">
        <f>11.375-3.02-0.246-0.094-1.267-0.518-1.715-1.127-0.08-0.251-0.176</f>
        <v>2.8810000000000016</v>
      </c>
    </row>
    <row r="5104" spans="1:5" x14ac:dyDescent="0.3">
      <c r="A5104" s="8">
        <v>480</v>
      </c>
      <c r="B5104" s="8">
        <v>25</v>
      </c>
      <c r="C5104" s="8">
        <v>20</v>
      </c>
      <c r="D5104" s="8" t="s">
        <v>1</v>
      </c>
      <c r="E5104" s="9">
        <v>5</v>
      </c>
    </row>
    <row r="5105" spans="1:5" x14ac:dyDescent="0.3">
      <c r="A5105" s="10">
        <v>480</v>
      </c>
      <c r="B5105" s="10">
        <v>25</v>
      </c>
      <c r="C5105" s="10" t="s">
        <v>26</v>
      </c>
      <c r="D5105" s="10" t="s">
        <v>1</v>
      </c>
      <c r="E5105" s="15">
        <f>4.73+2.245+2.32+4.21-0.487-0.262-0.071-0.197-0.505-0.487-1.469-2.272-0.382</f>
        <v>7.3729999999999993</v>
      </c>
    </row>
    <row r="5106" spans="1:5" x14ac:dyDescent="0.3">
      <c r="A5106" s="10">
        <v>480</v>
      </c>
      <c r="B5106" s="10">
        <v>30</v>
      </c>
      <c r="C5106" s="10">
        <v>20</v>
      </c>
      <c r="D5106" s="10" t="s">
        <v>1</v>
      </c>
      <c r="E5106" s="15">
        <v>4.7380000000000004</v>
      </c>
    </row>
    <row r="5107" spans="1:5" x14ac:dyDescent="0.3">
      <c r="A5107" s="10">
        <v>480</v>
      </c>
      <c r="B5107" s="10">
        <v>30</v>
      </c>
      <c r="C5107" s="10" t="s">
        <v>26</v>
      </c>
      <c r="D5107" s="10" t="s">
        <v>1</v>
      </c>
      <c r="E5107" s="15">
        <f>10.555-0.696-0.7-0.696-0.696</f>
        <v>7.7670000000000012</v>
      </c>
    </row>
    <row r="5108" spans="1:5" x14ac:dyDescent="0.3">
      <c r="A5108" s="8">
        <v>480</v>
      </c>
      <c r="B5108" s="8">
        <v>36</v>
      </c>
      <c r="C5108" s="8">
        <v>20</v>
      </c>
      <c r="D5108" s="8" t="s">
        <v>1</v>
      </c>
      <c r="E5108" s="9">
        <v>13.456</v>
      </c>
    </row>
    <row r="5109" spans="1:5" x14ac:dyDescent="0.3">
      <c r="A5109" s="8">
        <v>480</v>
      </c>
      <c r="B5109" s="8">
        <v>36</v>
      </c>
      <c r="C5109" s="8" t="s">
        <v>26</v>
      </c>
      <c r="D5109" s="8" t="s">
        <v>1</v>
      </c>
      <c r="E5109" s="9">
        <v>5.12</v>
      </c>
    </row>
    <row r="5110" spans="1:5" x14ac:dyDescent="0.3">
      <c r="A5110" s="10">
        <v>480</v>
      </c>
      <c r="B5110" s="10">
        <v>40</v>
      </c>
      <c r="C5110" s="10">
        <v>20</v>
      </c>
      <c r="D5110" s="10" t="s">
        <v>1</v>
      </c>
      <c r="E5110" s="15">
        <v>6.9820000000000002</v>
      </c>
    </row>
    <row r="5111" spans="1:5" x14ac:dyDescent="0.3">
      <c r="A5111" s="10">
        <v>480</v>
      </c>
      <c r="B5111" s="10">
        <v>40</v>
      </c>
      <c r="C5111" s="10" t="s">
        <v>26</v>
      </c>
      <c r="D5111" s="10" t="s">
        <v>1</v>
      </c>
      <c r="E5111" s="15">
        <f>18.645-3.425-1.055</f>
        <v>14.164999999999999</v>
      </c>
    </row>
    <row r="5112" spans="1:5" x14ac:dyDescent="0.3">
      <c r="A5112" s="8">
        <v>480</v>
      </c>
      <c r="B5112" s="8">
        <v>40</v>
      </c>
      <c r="C5112" s="8" t="s">
        <v>200</v>
      </c>
      <c r="D5112" s="8" t="s">
        <v>1</v>
      </c>
      <c r="E5112" s="9">
        <v>20</v>
      </c>
    </row>
    <row r="5113" spans="1:5" x14ac:dyDescent="0.3">
      <c r="A5113" s="8">
        <v>480</v>
      </c>
      <c r="B5113" s="8">
        <v>46</v>
      </c>
      <c r="C5113" s="10" t="s">
        <v>146</v>
      </c>
      <c r="D5113" s="10" t="s">
        <v>92</v>
      </c>
      <c r="E5113" s="9">
        <v>2.496</v>
      </c>
    </row>
    <row r="5114" spans="1:5" x14ac:dyDescent="0.3">
      <c r="A5114" s="10">
        <v>480</v>
      </c>
      <c r="B5114" s="10">
        <v>50</v>
      </c>
      <c r="C5114" s="10">
        <v>20</v>
      </c>
      <c r="D5114" s="10" t="s">
        <v>1</v>
      </c>
      <c r="E5114" s="15">
        <f>4.87-1.119</f>
        <v>3.7510000000000003</v>
      </c>
    </row>
    <row r="5115" spans="1:5" x14ac:dyDescent="0.3">
      <c r="A5115" s="8">
        <v>480</v>
      </c>
      <c r="B5115" s="8">
        <v>50</v>
      </c>
      <c r="C5115" s="8">
        <v>20</v>
      </c>
      <c r="D5115" s="8" t="s">
        <v>1</v>
      </c>
      <c r="E5115" s="9">
        <v>10</v>
      </c>
    </row>
    <row r="5116" spans="1:5" x14ac:dyDescent="0.3">
      <c r="A5116" s="10">
        <v>480</v>
      </c>
      <c r="B5116" s="10">
        <v>50</v>
      </c>
      <c r="C5116" s="10" t="s">
        <v>26</v>
      </c>
      <c r="D5116" s="10" t="s">
        <v>1</v>
      </c>
      <c r="E5116" s="15">
        <f>16.21-0.342-0.556-0.556+4.12-0.55-2.034-4.036-2.152-4.164-1.084</f>
        <v>4.8560000000000034</v>
      </c>
    </row>
    <row r="5117" spans="1:5" x14ac:dyDescent="0.3">
      <c r="A5117" s="10">
        <v>480</v>
      </c>
      <c r="B5117" s="10">
        <v>60</v>
      </c>
      <c r="C5117" s="10">
        <v>20</v>
      </c>
      <c r="D5117" s="10" t="s">
        <v>1</v>
      </c>
      <c r="E5117" s="15">
        <v>5.718</v>
      </c>
    </row>
    <row r="5118" spans="1:5" x14ac:dyDescent="0.3">
      <c r="A5118" s="8">
        <v>480</v>
      </c>
      <c r="B5118" s="8">
        <v>60</v>
      </c>
      <c r="C5118" s="8" t="s">
        <v>26</v>
      </c>
      <c r="D5118" s="8" t="s">
        <v>1</v>
      </c>
      <c r="E5118" s="9">
        <v>9.9749999999999996</v>
      </c>
    </row>
    <row r="5119" spans="1:5" x14ac:dyDescent="0.3">
      <c r="A5119" s="8">
        <v>480</v>
      </c>
      <c r="B5119" s="8">
        <v>70</v>
      </c>
      <c r="C5119" s="8">
        <v>20</v>
      </c>
      <c r="D5119" s="8" t="s">
        <v>1</v>
      </c>
      <c r="E5119" s="9">
        <v>10</v>
      </c>
    </row>
    <row r="5120" spans="1:5" x14ac:dyDescent="0.3">
      <c r="A5120" s="10">
        <v>480</v>
      </c>
      <c r="B5120" s="10">
        <v>70</v>
      </c>
      <c r="C5120" s="10" t="s">
        <v>26</v>
      </c>
      <c r="D5120" s="10" t="s">
        <v>1</v>
      </c>
      <c r="E5120" s="15">
        <f>6.6-0.316-1.463-1.528-0.882</f>
        <v>2.4109999999999996</v>
      </c>
    </row>
    <row r="5121" spans="1:5" x14ac:dyDescent="0.3">
      <c r="A5121" s="10">
        <v>480</v>
      </c>
      <c r="B5121" s="10">
        <v>80</v>
      </c>
      <c r="C5121" s="10" t="s">
        <v>26</v>
      </c>
      <c r="D5121" s="10" t="s">
        <v>1</v>
      </c>
      <c r="E5121" s="15">
        <v>13.895</v>
      </c>
    </row>
    <row r="5122" spans="1:5" x14ac:dyDescent="0.3">
      <c r="A5122" s="10">
        <v>480</v>
      </c>
      <c r="B5122" s="10">
        <v>90</v>
      </c>
      <c r="C5122" s="10" t="s">
        <v>26</v>
      </c>
      <c r="D5122" s="10" t="s">
        <v>1</v>
      </c>
      <c r="E5122" s="15">
        <f>6.5-3.24</f>
        <v>3.26</v>
      </c>
    </row>
    <row r="5123" spans="1:5" x14ac:dyDescent="0.3">
      <c r="A5123" s="10">
        <v>480</v>
      </c>
      <c r="B5123" s="10">
        <v>100</v>
      </c>
      <c r="C5123" s="10" t="s">
        <v>26</v>
      </c>
      <c r="D5123" s="10" t="s">
        <v>1</v>
      </c>
      <c r="E5123" s="15">
        <f>7.09+7.22-1.814-1.014</f>
        <v>11.481999999999999</v>
      </c>
    </row>
    <row r="5124" spans="1:5" x14ac:dyDescent="0.3">
      <c r="A5124" s="8">
        <v>485</v>
      </c>
      <c r="B5124" s="8">
        <v>10</v>
      </c>
      <c r="C5124" s="8">
        <v>20</v>
      </c>
      <c r="D5124" s="8" t="s">
        <v>1</v>
      </c>
      <c r="E5124" s="9">
        <v>15</v>
      </c>
    </row>
    <row r="5125" spans="1:5" x14ac:dyDescent="0.3">
      <c r="A5125" s="10">
        <v>485</v>
      </c>
      <c r="B5125" s="10">
        <v>10</v>
      </c>
      <c r="C5125" s="10" t="s">
        <v>26</v>
      </c>
      <c r="D5125" s="10" t="s">
        <v>1</v>
      </c>
      <c r="E5125" s="15">
        <f>2.565+7.83+1.24+2.34</f>
        <v>13.975</v>
      </c>
    </row>
    <row r="5126" spans="1:5" x14ac:dyDescent="0.3">
      <c r="A5126" s="10">
        <v>485</v>
      </c>
      <c r="B5126" s="10">
        <v>12</v>
      </c>
      <c r="C5126" s="10">
        <v>20</v>
      </c>
      <c r="D5126" s="10" t="s">
        <v>1</v>
      </c>
      <c r="E5126" s="15">
        <f>8.19-0.154-1.691-0.153-1.318-0.853-1.691-0.138-1.673</f>
        <v>0.51900000000000102</v>
      </c>
    </row>
    <row r="5127" spans="1:5" x14ac:dyDescent="0.3">
      <c r="A5127" s="8">
        <v>485</v>
      </c>
      <c r="B5127" s="8">
        <v>12</v>
      </c>
      <c r="C5127" s="8">
        <v>20</v>
      </c>
      <c r="D5127" s="8" t="s">
        <v>1</v>
      </c>
      <c r="E5127" s="9">
        <v>10</v>
      </c>
    </row>
    <row r="5128" spans="1:5" x14ac:dyDescent="0.3">
      <c r="A5128" s="8">
        <v>485</v>
      </c>
      <c r="B5128" s="8">
        <v>12</v>
      </c>
      <c r="C5128" s="8" t="s">
        <v>26</v>
      </c>
      <c r="D5128" s="8" t="s">
        <v>1</v>
      </c>
      <c r="E5128" s="9">
        <v>14.346</v>
      </c>
    </row>
    <row r="5129" spans="1:5" x14ac:dyDescent="0.3">
      <c r="A5129" s="8">
        <v>485</v>
      </c>
      <c r="B5129" s="8">
        <v>14</v>
      </c>
      <c r="C5129" s="8">
        <v>20</v>
      </c>
      <c r="D5129" s="8" t="s">
        <v>1</v>
      </c>
      <c r="E5129" s="9">
        <v>13</v>
      </c>
    </row>
    <row r="5130" spans="1:5" x14ac:dyDescent="0.3">
      <c r="A5130" s="8">
        <v>485</v>
      </c>
      <c r="B5130" s="8">
        <v>14</v>
      </c>
      <c r="C5130" s="8" t="s">
        <v>26</v>
      </c>
      <c r="D5130" s="8" t="s">
        <v>1</v>
      </c>
      <c r="E5130" s="9">
        <v>14.592000000000001</v>
      </c>
    </row>
    <row r="5131" spans="1:5" x14ac:dyDescent="0.3">
      <c r="A5131" s="8">
        <v>485</v>
      </c>
      <c r="B5131" s="8">
        <v>16</v>
      </c>
      <c r="C5131" s="8">
        <v>20</v>
      </c>
      <c r="D5131" s="8" t="s">
        <v>1</v>
      </c>
      <c r="E5131" s="9">
        <f>12.33-0.221-2.042-1.076-0.279</f>
        <v>8.7119999999999997</v>
      </c>
    </row>
    <row r="5132" spans="1:5" x14ac:dyDescent="0.3">
      <c r="A5132" s="10">
        <v>485</v>
      </c>
      <c r="B5132" s="10">
        <v>16</v>
      </c>
      <c r="C5132" s="10" t="s">
        <v>26</v>
      </c>
      <c r="D5132" s="10" t="s">
        <v>1</v>
      </c>
      <c r="E5132" s="15">
        <f>14.275-2.126</f>
        <v>12.149000000000001</v>
      </c>
    </row>
    <row r="5133" spans="1:5" x14ac:dyDescent="0.3">
      <c r="A5133" s="8">
        <v>485</v>
      </c>
      <c r="B5133" s="8">
        <v>20</v>
      </c>
      <c r="C5133" s="8">
        <v>20</v>
      </c>
      <c r="D5133" s="8" t="s">
        <v>1</v>
      </c>
      <c r="E5133" s="9">
        <v>5</v>
      </c>
    </row>
    <row r="5134" spans="1:5" x14ac:dyDescent="0.3">
      <c r="A5134" s="10">
        <v>485</v>
      </c>
      <c r="B5134" s="10">
        <v>20</v>
      </c>
      <c r="C5134" s="10" t="s">
        <v>26</v>
      </c>
      <c r="D5134" s="10" t="s">
        <v>1</v>
      </c>
      <c r="E5134" s="15">
        <f>14.65-0.374-0.148+5.078-0.217</f>
        <v>18.989000000000001</v>
      </c>
    </row>
    <row r="5135" spans="1:5" x14ac:dyDescent="0.3">
      <c r="A5135" s="8">
        <v>485</v>
      </c>
      <c r="B5135" s="8">
        <v>25</v>
      </c>
      <c r="C5135" s="8">
        <v>20</v>
      </c>
      <c r="D5135" s="10" t="s">
        <v>1</v>
      </c>
      <c r="E5135" s="9">
        <f>0.017+5.045</f>
        <v>5.0620000000000003</v>
      </c>
    </row>
    <row r="5136" spans="1:5" x14ac:dyDescent="0.3">
      <c r="A5136" s="10">
        <v>485</v>
      </c>
      <c r="B5136" s="10">
        <v>25</v>
      </c>
      <c r="C5136" s="10" t="s">
        <v>26</v>
      </c>
      <c r="D5136" s="10" t="s">
        <v>1</v>
      </c>
      <c r="E5136" s="15">
        <f>6.305+3.002-0.307</f>
        <v>8.9999999999999982</v>
      </c>
    </row>
    <row r="5137" spans="1:5" x14ac:dyDescent="0.3">
      <c r="A5137" s="10">
        <v>485</v>
      </c>
      <c r="B5137" s="10">
        <v>25</v>
      </c>
      <c r="C5137" s="10" t="s">
        <v>28</v>
      </c>
      <c r="D5137" s="10" t="s">
        <v>1</v>
      </c>
      <c r="E5137" s="15">
        <v>5.25</v>
      </c>
    </row>
    <row r="5138" spans="1:5" x14ac:dyDescent="0.3">
      <c r="A5138" s="8">
        <v>485</v>
      </c>
      <c r="B5138" s="8">
        <v>30</v>
      </c>
      <c r="C5138" s="8">
        <v>20</v>
      </c>
      <c r="D5138" s="8" t="s">
        <v>1</v>
      </c>
      <c r="E5138" s="9">
        <v>4.6959999999999997</v>
      </c>
    </row>
    <row r="5139" spans="1:5" x14ac:dyDescent="0.3">
      <c r="A5139" s="10">
        <v>485</v>
      </c>
      <c r="B5139" s="10">
        <v>30</v>
      </c>
      <c r="C5139" s="10" t="s">
        <v>26</v>
      </c>
      <c r="D5139" s="10" t="s">
        <v>1</v>
      </c>
      <c r="E5139" s="15">
        <f>3.054+2.618-2.618-0.43-0.551-0.301</f>
        <v>1.7719999999999996</v>
      </c>
    </row>
    <row r="5140" spans="1:5" x14ac:dyDescent="0.3">
      <c r="A5140" s="8">
        <v>485</v>
      </c>
      <c r="B5140" s="8">
        <v>32</v>
      </c>
      <c r="C5140" s="8" t="s">
        <v>28</v>
      </c>
      <c r="D5140" s="8" t="s">
        <v>1</v>
      </c>
      <c r="E5140" s="9">
        <v>6.7039999999999997</v>
      </c>
    </row>
    <row r="5141" spans="1:5" x14ac:dyDescent="0.3">
      <c r="A5141" s="10">
        <v>485</v>
      </c>
      <c r="B5141" s="10">
        <v>32</v>
      </c>
      <c r="C5141" s="10" t="s">
        <v>30</v>
      </c>
      <c r="D5141" s="10" t="s">
        <v>1</v>
      </c>
      <c r="E5141" s="15">
        <f>10.188-0.197+0.04-3.167-0.194</f>
        <v>6.6700000000000008</v>
      </c>
    </row>
    <row r="5142" spans="1:5" x14ac:dyDescent="0.3">
      <c r="A5142" s="10">
        <v>485</v>
      </c>
      <c r="B5142" s="10">
        <v>36</v>
      </c>
      <c r="C5142" s="10">
        <v>20</v>
      </c>
      <c r="D5142" s="10" t="s">
        <v>1</v>
      </c>
      <c r="E5142" s="15">
        <f>6.684-0.982</f>
        <v>5.702</v>
      </c>
    </row>
    <row r="5143" spans="1:5" x14ac:dyDescent="0.3">
      <c r="A5143" s="10">
        <v>485</v>
      </c>
      <c r="B5143" s="10">
        <v>36</v>
      </c>
      <c r="C5143" s="10" t="s">
        <v>30</v>
      </c>
      <c r="D5143" s="10" t="s">
        <v>1</v>
      </c>
      <c r="E5143" s="15">
        <f>2.962+2.88+3.804-0.413</f>
        <v>9.2330000000000005</v>
      </c>
    </row>
    <row r="5144" spans="1:5" x14ac:dyDescent="0.3">
      <c r="A5144" s="8">
        <v>485</v>
      </c>
      <c r="B5144" s="8">
        <v>40</v>
      </c>
      <c r="C5144" s="8">
        <v>20</v>
      </c>
      <c r="D5144" s="8" t="s">
        <v>1</v>
      </c>
      <c r="E5144" s="9">
        <f>4.386-1.067-0.432-0.111-0.459-0.15</f>
        <v>2.1669999999999998</v>
      </c>
    </row>
    <row r="5145" spans="1:5" x14ac:dyDescent="0.3">
      <c r="A5145" s="10">
        <v>485</v>
      </c>
      <c r="B5145" s="10">
        <v>45</v>
      </c>
      <c r="C5145" s="10">
        <v>20</v>
      </c>
      <c r="D5145" s="10" t="s">
        <v>1</v>
      </c>
      <c r="E5145" s="15">
        <f>4.098+3.277-0.106+0.087-0.136-0.373</f>
        <v>6.8469999999999995</v>
      </c>
    </row>
    <row r="5146" spans="1:5" x14ac:dyDescent="0.3">
      <c r="A5146" s="8">
        <v>485</v>
      </c>
      <c r="B5146" s="8">
        <v>50</v>
      </c>
      <c r="C5146" s="8">
        <v>20</v>
      </c>
      <c r="D5146" s="8" t="s">
        <v>1</v>
      </c>
      <c r="E5146" s="9">
        <v>4.92</v>
      </c>
    </row>
    <row r="5147" spans="1:5" x14ac:dyDescent="0.3">
      <c r="A5147" s="10">
        <v>485</v>
      </c>
      <c r="B5147" s="10">
        <v>50</v>
      </c>
      <c r="C5147" s="10" t="s">
        <v>26</v>
      </c>
      <c r="D5147" s="10" t="s">
        <v>1</v>
      </c>
      <c r="E5147" s="15">
        <f>15.795+4.27-1.092-0.087</f>
        <v>18.885999999999999</v>
      </c>
    </row>
    <row r="5148" spans="1:5" x14ac:dyDescent="0.3">
      <c r="A5148" s="10">
        <v>485</v>
      </c>
      <c r="B5148" s="10">
        <v>50</v>
      </c>
      <c r="C5148" s="10" t="s">
        <v>28</v>
      </c>
      <c r="D5148" s="10" t="s">
        <v>1</v>
      </c>
      <c r="E5148" s="15">
        <v>3.798</v>
      </c>
    </row>
    <row r="5149" spans="1:5" x14ac:dyDescent="0.3">
      <c r="A5149" s="10">
        <v>485</v>
      </c>
      <c r="B5149" s="10">
        <v>56</v>
      </c>
      <c r="C5149" s="10">
        <v>20</v>
      </c>
      <c r="D5149" s="10" t="s">
        <v>1</v>
      </c>
      <c r="E5149" s="15">
        <f>15.53-0.941-0.965</f>
        <v>13.623999999999999</v>
      </c>
    </row>
    <row r="5150" spans="1:5" x14ac:dyDescent="0.3">
      <c r="A5150" s="8">
        <v>485</v>
      </c>
      <c r="B5150" s="8">
        <v>60</v>
      </c>
      <c r="C5150" s="8" t="s">
        <v>26</v>
      </c>
      <c r="D5150" s="8" t="s">
        <v>1</v>
      </c>
      <c r="E5150" s="9">
        <v>9.9749999999999996</v>
      </c>
    </row>
    <row r="5151" spans="1:5" x14ac:dyDescent="0.3">
      <c r="A5151" s="8">
        <v>485</v>
      </c>
      <c r="B5151" s="8">
        <v>60</v>
      </c>
      <c r="C5151" s="8">
        <v>35</v>
      </c>
      <c r="D5151" s="8" t="s">
        <v>20</v>
      </c>
      <c r="E5151" s="9">
        <f>4.631-1.146-0.227-0.649</f>
        <v>2.6090000000000004</v>
      </c>
    </row>
    <row r="5152" spans="1:5" x14ac:dyDescent="0.3">
      <c r="A5152" s="8">
        <v>485</v>
      </c>
      <c r="B5152" s="8">
        <v>60</v>
      </c>
      <c r="C5152" s="8">
        <v>35</v>
      </c>
      <c r="D5152" s="8" t="s">
        <v>1</v>
      </c>
      <c r="E5152" s="9">
        <v>10</v>
      </c>
    </row>
    <row r="5153" spans="1:5" x14ac:dyDescent="0.3">
      <c r="A5153" s="10">
        <v>485</v>
      </c>
      <c r="B5153" s="10">
        <v>68</v>
      </c>
      <c r="C5153" s="10" t="s">
        <v>28</v>
      </c>
      <c r="D5153" s="10" t="s">
        <v>1</v>
      </c>
      <c r="E5153" s="15">
        <v>8.6159999999999997</v>
      </c>
    </row>
    <row r="5154" spans="1:5" x14ac:dyDescent="0.3">
      <c r="A5154" s="10">
        <v>485</v>
      </c>
      <c r="B5154" s="10">
        <v>70</v>
      </c>
      <c r="C5154" s="10">
        <v>20</v>
      </c>
      <c r="D5154" s="10" t="s">
        <v>1</v>
      </c>
      <c r="E5154" s="15">
        <f>6.33-1.506</f>
        <v>4.8239999999999998</v>
      </c>
    </row>
    <row r="5155" spans="1:5" x14ac:dyDescent="0.3">
      <c r="A5155" s="10">
        <v>485</v>
      </c>
      <c r="B5155" s="10">
        <v>70</v>
      </c>
      <c r="C5155" s="10" t="s">
        <v>26</v>
      </c>
      <c r="D5155" s="10" t="s">
        <v>1</v>
      </c>
      <c r="E5155" s="15">
        <f>9.83+5.03</f>
        <v>14.86</v>
      </c>
    </row>
    <row r="5156" spans="1:5" x14ac:dyDescent="0.3">
      <c r="A5156" s="10">
        <v>485</v>
      </c>
      <c r="B5156" s="10">
        <v>80</v>
      </c>
      <c r="C5156" s="10" t="s">
        <v>26</v>
      </c>
      <c r="D5156" s="10" t="s">
        <v>1</v>
      </c>
      <c r="E5156" s="15">
        <f>6.84-0.825-0.921</f>
        <v>5.0939999999999994</v>
      </c>
    </row>
    <row r="5157" spans="1:5" x14ac:dyDescent="0.3">
      <c r="A5157" s="10">
        <v>485</v>
      </c>
      <c r="B5157" s="10">
        <v>90</v>
      </c>
      <c r="C5157" s="10" t="s">
        <v>26</v>
      </c>
      <c r="D5157" s="10" t="s">
        <v>1</v>
      </c>
      <c r="E5157" s="15">
        <v>14.17</v>
      </c>
    </row>
    <row r="5158" spans="1:5" x14ac:dyDescent="0.3">
      <c r="A5158" s="10">
        <v>485</v>
      </c>
      <c r="B5158" s="10">
        <v>100</v>
      </c>
      <c r="C5158" s="10" t="s">
        <v>26</v>
      </c>
      <c r="D5158" s="10" t="s">
        <v>1</v>
      </c>
      <c r="E5158" s="15">
        <f>7.07+7.1</f>
        <v>14.17</v>
      </c>
    </row>
    <row r="5159" spans="1:5" x14ac:dyDescent="0.3">
      <c r="A5159" s="22">
        <v>490</v>
      </c>
      <c r="B5159" s="22">
        <v>12.5</v>
      </c>
      <c r="C5159" s="22" t="s">
        <v>26</v>
      </c>
      <c r="D5159" s="22" t="s">
        <v>1</v>
      </c>
      <c r="E5159" s="23">
        <f>18.084+1.105-0.253-0.349-0.351-0.925-0.36-1.697-0.159-3.318-0.043-0.618</f>
        <v>11.116000000000001</v>
      </c>
    </row>
    <row r="5160" spans="1:5" x14ac:dyDescent="0.3">
      <c r="A5160" s="8">
        <v>490</v>
      </c>
      <c r="B5160" s="8">
        <v>90</v>
      </c>
      <c r="C5160" s="8" t="s">
        <v>26</v>
      </c>
      <c r="D5160" s="8" t="s">
        <v>1</v>
      </c>
      <c r="E5160" s="9">
        <v>6.35</v>
      </c>
    </row>
    <row r="5161" spans="1:5" x14ac:dyDescent="0.3">
      <c r="A5161" s="10">
        <v>495</v>
      </c>
      <c r="B5161" s="10">
        <v>65</v>
      </c>
      <c r="C5161" s="10" t="s">
        <v>28</v>
      </c>
      <c r="D5161" s="10" t="s">
        <v>1</v>
      </c>
      <c r="E5161" s="15">
        <f>5.75-0.532</f>
        <v>5.218</v>
      </c>
    </row>
    <row r="5162" spans="1:5" x14ac:dyDescent="0.3">
      <c r="A5162" s="8">
        <v>500</v>
      </c>
      <c r="B5162" s="8">
        <v>25</v>
      </c>
      <c r="C5162" s="8">
        <v>20</v>
      </c>
      <c r="D5162" s="8" t="s">
        <v>1</v>
      </c>
      <c r="E5162" s="9">
        <v>5</v>
      </c>
    </row>
    <row r="5163" spans="1:5" x14ac:dyDescent="0.3">
      <c r="A5163" s="8">
        <v>500</v>
      </c>
      <c r="B5163" s="8">
        <v>30</v>
      </c>
      <c r="C5163" s="8">
        <v>20</v>
      </c>
      <c r="D5163" s="8" t="s">
        <v>1</v>
      </c>
      <c r="E5163" s="9">
        <v>5</v>
      </c>
    </row>
    <row r="5164" spans="1:5" x14ac:dyDescent="0.3">
      <c r="A5164" s="10">
        <v>500</v>
      </c>
      <c r="B5164" s="10">
        <v>32</v>
      </c>
      <c r="C5164" s="10" t="s">
        <v>26</v>
      </c>
      <c r="D5164" s="10" t="s">
        <v>1</v>
      </c>
      <c r="E5164" s="15">
        <f>5.245-0.913-0.114-0.332-0.211</f>
        <v>3.6750000000000003</v>
      </c>
    </row>
    <row r="5165" spans="1:5" x14ac:dyDescent="0.3">
      <c r="A5165" s="8">
        <v>500</v>
      </c>
      <c r="B5165" s="8">
        <v>36</v>
      </c>
      <c r="C5165" s="8">
        <v>20</v>
      </c>
      <c r="D5165" s="8" t="s">
        <v>1</v>
      </c>
      <c r="E5165" s="9">
        <v>5</v>
      </c>
    </row>
    <row r="5166" spans="1:5" x14ac:dyDescent="0.3">
      <c r="A5166" s="8">
        <v>500</v>
      </c>
      <c r="B5166" s="8">
        <v>40</v>
      </c>
      <c r="C5166" s="8">
        <v>20</v>
      </c>
      <c r="D5166" s="8" t="s">
        <v>1</v>
      </c>
      <c r="E5166" s="9">
        <v>5</v>
      </c>
    </row>
    <row r="5167" spans="1:5" x14ac:dyDescent="0.3">
      <c r="A5167" s="10">
        <v>500</v>
      </c>
      <c r="B5167" s="10">
        <v>40</v>
      </c>
      <c r="C5167" s="10" t="s">
        <v>26</v>
      </c>
      <c r="D5167" s="10" t="s">
        <v>1</v>
      </c>
      <c r="E5167" s="15">
        <f>6.24-0.497-0.383-2.247-0.36-0.095</f>
        <v>2.6580000000000004</v>
      </c>
    </row>
    <row r="5168" spans="1:5" x14ac:dyDescent="0.3">
      <c r="A5168" s="10">
        <v>500</v>
      </c>
      <c r="B5168" s="10">
        <v>48</v>
      </c>
      <c r="C5168" s="10" t="s">
        <v>28</v>
      </c>
      <c r="D5168" s="10" t="s">
        <v>1</v>
      </c>
      <c r="E5168" s="15">
        <v>5.17</v>
      </c>
    </row>
    <row r="5169" spans="1:5" x14ac:dyDescent="0.3">
      <c r="A5169" s="8">
        <v>500</v>
      </c>
      <c r="B5169" s="8">
        <v>50</v>
      </c>
      <c r="C5169" s="8">
        <v>20</v>
      </c>
      <c r="D5169" s="8" t="s">
        <v>1</v>
      </c>
      <c r="E5169" s="9">
        <v>5</v>
      </c>
    </row>
    <row r="5170" spans="1:5" x14ac:dyDescent="0.3">
      <c r="A5170" s="10">
        <v>500</v>
      </c>
      <c r="B5170" s="10">
        <v>50</v>
      </c>
      <c r="C5170" s="10" t="s">
        <v>26</v>
      </c>
      <c r="D5170" s="10" t="s">
        <v>1</v>
      </c>
      <c r="E5170" s="15">
        <f>7.03-0.713-1.163-0.308-0.633-0.148</f>
        <v>4.0650000000000004</v>
      </c>
    </row>
    <row r="5171" spans="1:5" x14ac:dyDescent="0.3">
      <c r="A5171" s="8">
        <v>500</v>
      </c>
      <c r="B5171" s="8">
        <v>60</v>
      </c>
      <c r="C5171" s="8">
        <v>20</v>
      </c>
      <c r="D5171" s="8" t="s">
        <v>1</v>
      </c>
      <c r="E5171" s="9">
        <v>5</v>
      </c>
    </row>
    <row r="5172" spans="1:5" x14ac:dyDescent="0.3">
      <c r="A5172" s="10">
        <v>500</v>
      </c>
      <c r="B5172" s="10">
        <v>60</v>
      </c>
      <c r="C5172" s="10" t="s">
        <v>26</v>
      </c>
      <c r="D5172" s="10" t="s">
        <v>1</v>
      </c>
      <c r="E5172" s="15">
        <f>4.875-0.232</f>
        <v>4.6429999999999998</v>
      </c>
    </row>
    <row r="5173" spans="1:5" x14ac:dyDescent="0.3">
      <c r="A5173" s="8">
        <v>500</v>
      </c>
      <c r="B5173" s="8">
        <v>70</v>
      </c>
      <c r="C5173" s="8">
        <v>20</v>
      </c>
      <c r="D5173" s="8" t="s">
        <v>1</v>
      </c>
      <c r="E5173" s="9">
        <v>5</v>
      </c>
    </row>
    <row r="5174" spans="1:5" x14ac:dyDescent="0.3">
      <c r="A5174" s="10">
        <v>502</v>
      </c>
      <c r="B5174" s="10">
        <v>68</v>
      </c>
      <c r="C5174" s="10" t="s">
        <v>28</v>
      </c>
      <c r="D5174" s="10" t="s">
        <v>1</v>
      </c>
      <c r="E5174" s="15">
        <v>5.2240000000000002</v>
      </c>
    </row>
    <row r="5175" spans="1:5" x14ac:dyDescent="0.3">
      <c r="A5175" s="10">
        <v>508</v>
      </c>
      <c r="B5175" s="10">
        <v>9.5299999999999994</v>
      </c>
      <c r="C5175" s="10" t="s">
        <v>139</v>
      </c>
      <c r="D5175" s="10" t="s">
        <v>114</v>
      </c>
      <c r="E5175" s="15">
        <v>5.25</v>
      </c>
    </row>
    <row r="5176" spans="1:5" x14ac:dyDescent="0.3">
      <c r="A5176" s="10">
        <v>508</v>
      </c>
      <c r="B5176" s="10">
        <v>10</v>
      </c>
      <c r="C5176" s="10">
        <v>20</v>
      </c>
      <c r="D5176" s="10" t="s">
        <v>1</v>
      </c>
      <c r="E5176" s="15">
        <f>8.8-0.038-0.209-0.407-0.05-0.406-0.033-2.989-0.541-0.037-0.071-0.108-0.045-0.034-0.711-0.261-0.273-0.14-0.104</f>
        <v>2.343</v>
      </c>
    </row>
    <row r="5177" spans="1:5" x14ac:dyDescent="0.3">
      <c r="A5177" s="8">
        <v>508</v>
      </c>
      <c r="B5177" s="8">
        <v>10</v>
      </c>
      <c r="C5177" s="8">
        <v>20</v>
      </c>
      <c r="D5177" s="8" t="s">
        <v>1</v>
      </c>
      <c r="E5177" s="9">
        <v>15</v>
      </c>
    </row>
    <row r="5178" spans="1:5" x14ac:dyDescent="0.3">
      <c r="A5178" s="8">
        <v>508</v>
      </c>
      <c r="B5178" s="8">
        <v>10</v>
      </c>
      <c r="C5178" s="8">
        <v>20</v>
      </c>
      <c r="D5178" s="8" t="s">
        <v>1</v>
      </c>
      <c r="E5178" s="9">
        <v>10</v>
      </c>
    </row>
    <row r="5179" spans="1:5" x14ac:dyDescent="0.3">
      <c r="A5179" s="10">
        <v>508</v>
      </c>
      <c r="B5179" s="10">
        <v>10</v>
      </c>
      <c r="C5179" s="10" t="s">
        <v>26</v>
      </c>
      <c r="D5179" s="10" t="s">
        <v>1</v>
      </c>
      <c r="E5179" s="15">
        <f>10.425+3.215-0.135-1.379-0.269-0.192</f>
        <v>11.665000000000001</v>
      </c>
    </row>
    <row r="5180" spans="1:5" x14ac:dyDescent="0.3">
      <c r="A5180" s="10">
        <v>508</v>
      </c>
      <c r="B5180" s="10">
        <v>10</v>
      </c>
      <c r="C5180" s="10" t="s">
        <v>160</v>
      </c>
      <c r="D5180" s="10" t="s">
        <v>1</v>
      </c>
      <c r="E5180" s="15">
        <v>2.33</v>
      </c>
    </row>
    <row r="5181" spans="1:5" x14ac:dyDescent="0.3">
      <c r="A5181" s="8">
        <v>508</v>
      </c>
      <c r="B5181" s="8">
        <v>12</v>
      </c>
      <c r="C5181" s="8">
        <v>20</v>
      </c>
      <c r="D5181" s="8" t="s">
        <v>1</v>
      </c>
      <c r="E5181" s="9">
        <f>8.115+7.82+5.68-0.207-1.02-0.53-0.31-0.525-0.071-1.104-0.25-0.209</f>
        <v>17.389000000000003</v>
      </c>
    </row>
    <row r="5182" spans="1:5" x14ac:dyDescent="0.3">
      <c r="A5182" s="10">
        <v>508</v>
      </c>
      <c r="B5182" s="10">
        <v>12</v>
      </c>
      <c r="C5182" s="10" t="s">
        <v>26</v>
      </c>
      <c r="D5182" s="10" t="s">
        <v>1</v>
      </c>
      <c r="E5182" s="15">
        <f>16.39+6.585+1.185-0.377-1.664-5.072-5.05</f>
        <v>11.997</v>
      </c>
    </row>
    <row r="5183" spans="1:5" x14ac:dyDescent="0.3">
      <c r="A5183" s="10">
        <v>508</v>
      </c>
      <c r="B5183" s="10">
        <v>12.7</v>
      </c>
      <c r="C5183" s="10" t="s">
        <v>94</v>
      </c>
      <c r="D5183" s="10" t="s">
        <v>173</v>
      </c>
      <c r="E5183" s="15">
        <v>0.96199999999999997</v>
      </c>
    </row>
    <row r="5184" spans="1:5" x14ac:dyDescent="0.3">
      <c r="A5184" s="10">
        <v>508</v>
      </c>
      <c r="B5184" s="10">
        <v>14</v>
      </c>
      <c r="C5184" s="10">
        <v>20</v>
      </c>
      <c r="D5184" s="10" t="s">
        <v>1</v>
      </c>
      <c r="E5184" s="15">
        <f>6.966-0.095-0.181-0.057-0.353-0.493-0.349-0.267+0.227-1.04</f>
        <v>4.3579999999999997</v>
      </c>
    </row>
    <row r="5185" spans="1:5" x14ac:dyDescent="0.3">
      <c r="A5185" s="8">
        <v>508</v>
      </c>
      <c r="B5185" s="8">
        <v>14</v>
      </c>
      <c r="C5185" s="8" t="s">
        <v>26</v>
      </c>
      <c r="D5185" s="8" t="s">
        <v>1</v>
      </c>
      <c r="E5185" s="9">
        <v>10.776</v>
      </c>
    </row>
    <row r="5186" spans="1:5" x14ac:dyDescent="0.3">
      <c r="A5186" s="10">
        <v>508</v>
      </c>
      <c r="B5186" s="10">
        <v>15.09</v>
      </c>
      <c r="C5186" s="10" t="s">
        <v>139</v>
      </c>
      <c r="D5186" s="10" t="s">
        <v>114</v>
      </c>
      <c r="E5186" s="15">
        <v>2.09</v>
      </c>
    </row>
    <row r="5187" spans="1:5" x14ac:dyDescent="0.3">
      <c r="A5187" s="10">
        <v>508</v>
      </c>
      <c r="B5187" s="10">
        <v>15.9</v>
      </c>
      <c r="C5187" s="10" t="s">
        <v>47</v>
      </c>
      <c r="D5187" s="10" t="s">
        <v>22</v>
      </c>
      <c r="E5187" s="15">
        <f>17.738+0.244-0.319-0.205-2.233-0.518-2.3-0.127-0.041-0.073-0.289-0.385-6.89-1.025-0.075</f>
        <v>3.5019999999999993</v>
      </c>
    </row>
    <row r="5188" spans="1:5" x14ac:dyDescent="0.3">
      <c r="A5188" s="8">
        <v>508</v>
      </c>
      <c r="B5188" s="8">
        <v>16</v>
      </c>
      <c r="C5188" s="8">
        <v>20</v>
      </c>
      <c r="D5188" s="8" t="s">
        <v>1</v>
      </c>
      <c r="E5188" s="9">
        <f>4.18+4.105+1.36-0.323-0.09-0.255-0.063-0.09-0.239-0.09-0.188-0.8-0.239-0.435-0.163-0.084-0.684-0.69-0.069-0.422-0.113-0.426</f>
        <v>4.1819999999999977</v>
      </c>
    </row>
    <row r="5189" spans="1:5" x14ac:dyDescent="0.3">
      <c r="A5189" s="10">
        <v>508</v>
      </c>
      <c r="B5189" s="10">
        <v>16</v>
      </c>
      <c r="C5189" s="10" t="s">
        <v>26</v>
      </c>
      <c r="D5189" s="10" t="s">
        <v>1</v>
      </c>
      <c r="E5189" s="15">
        <f>9.18+1.2-0.199-0.146-0.088-0.516</f>
        <v>9.4309999999999992</v>
      </c>
    </row>
    <row r="5190" spans="1:5" x14ac:dyDescent="0.3">
      <c r="A5190" s="8">
        <v>508</v>
      </c>
      <c r="B5190" s="8">
        <v>20</v>
      </c>
      <c r="C5190" s="8">
        <v>20</v>
      </c>
      <c r="D5190" s="8" t="s">
        <v>1</v>
      </c>
      <c r="E5190" s="9">
        <v>10</v>
      </c>
    </row>
    <row r="5191" spans="1:5" x14ac:dyDescent="0.3">
      <c r="A5191" s="10">
        <v>508</v>
      </c>
      <c r="B5191" s="10">
        <v>20</v>
      </c>
      <c r="C5191" s="10" t="s">
        <v>26</v>
      </c>
      <c r="D5191" s="10" t="s">
        <v>7</v>
      </c>
      <c r="E5191" s="15">
        <f>14.271+1.414-1.414-0.961-0.135+2.974+2.999-0.244-0.259-0.378-2.833-0.174-0.378-2.896-0.252-0.061</f>
        <v>11.673</v>
      </c>
    </row>
    <row r="5192" spans="1:5" x14ac:dyDescent="0.3">
      <c r="A5192" s="10">
        <v>508</v>
      </c>
      <c r="B5192" s="10">
        <v>20</v>
      </c>
      <c r="C5192" s="10" t="s">
        <v>26</v>
      </c>
      <c r="D5192" s="10" t="s">
        <v>1</v>
      </c>
      <c r="E5192" s="15">
        <f>6.89+4.083-0.678+1.725-0.142-0.271-0.957-10.266-0.142+1.885-0.458-0.434</f>
        <v>1.2349999999999968</v>
      </c>
    </row>
    <row r="5193" spans="1:5" x14ac:dyDescent="0.3">
      <c r="A5193" s="10">
        <v>508</v>
      </c>
      <c r="B5193" s="10">
        <v>20</v>
      </c>
      <c r="C5193" s="10" t="s">
        <v>26</v>
      </c>
      <c r="D5193" s="10" t="s">
        <v>1</v>
      </c>
      <c r="E5193" s="15">
        <f>21.465-4.497</f>
        <v>16.968</v>
      </c>
    </row>
    <row r="5194" spans="1:5" x14ac:dyDescent="0.3">
      <c r="A5194" s="10">
        <v>508</v>
      </c>
      <c r="B5194" s="10">
        <v>20</v>
      </c>
      <c r="C5194" s="10" t="s">
        <v>65</v>
      </c>
      <c r="D5194" s="10" t="s">
        <v>66</v>
      </c>
      <c r="E5194" s="15">
        <v>13.459</v>
      </c>
    </row>
    <row r="5195" spans="1:5" x14ac:dyDescent="0.3">
      <c r="A5195" s="10">
        <v>508</v>
      </c>
      <c r="B5195" s="10">
        <v>25</v>
      </c>
      <c r="C5195" s="10">
        <v>20</v>
      </c>
      <c r="D5195" s="10" t="s">
        <v>1</v>
      </c>
      <c r="E5195" s="15">
        <f>6.862-0.937+6.948-0.108-0.169+0.014-0.42-0.319-0.316-4.61-0.401-0.631-0.613-0.931-0.132-0.753-1.298-0.628-0.123+7.262-0.619-0.138-0.383-0.842-0.102-0.059-2.585-0.873</f>
        <v>3.0959999999999974</v>
      </c>
    </row>
    <row r="5196" spans="1:5" x14ac:dyDescent="0.3">
      <c r="A5196" s="8">
        <v>508</v>
      </c>
      <c r="B5196" s="8">
        <v>25</v>
      </c>
      <c r="C5196" s="8">
        <v>20</v>
      </c>
      <c r="D5196" s="8" t="s">
        <v>1</v>
      </c>
      <c r="E5196" s="9">
        <v>10</v>
      </c>
    </row>
    <row r="5197" spans="1:5" x14ac:dyDescent="0.3">
      <c r="A5197" s="10">
        <v>508</v>
      </c>
      <c r="B5197" s="10">
        <v>25</v>
      </c>
      <c r="C5197" s="10" t="s">
        <v>26</v>
      </c>
      <c r="D5197" s="10" t="s">
        <v>64</v>
      </c>
      <c r="E5197" s="15">
        <f>7.636-2.352-0.135-0.129</f>
        <v>5.0200000000000014</v>
      </c>
    </row>
    <row r="5198" spans="1:5" x14ac:dyDescent="0.3">
      <c r="A5198" s="10">
        <v>508</v>
      </c>
      <c r="B5198" s="10">
        <v>25</v>
      </c>
      <c r="C5198" s="10">
        <v>35</v>
      </c>
      <c r="D5198" s="10" t="s">
        <v>1</v>
      </c>
      <c r="E5198" s="15">
        <f>2.03+10.404-0.49</f>
        <v>11.943999999999999</v>
      </c>
    </row>
    <row r="5199" spans="1:5" x14ac:dyDescent="0.3">
      <c r="A5199" s="10">
        <v>508</v>
      </c>
      <c r="B5199" s="10">
        <v>26</v>
      </c>
      <c r="C5199" s="10" t="s">
        <v>26</v>
      </c>
      <c r="D5199" s="10" t="s">
        <v>1</v>
      </c>
      <c r="E5199" s="15">
        <v>3.58</v>
      </c>
    </row>
    <row r="5200" spans="1:5" x14ac:dyDescent="0.3">
      <c r="A5200" s="10">
        <v>508</v>
      </c>
      <c r="B5200" s="10">
        <v>28</v>
      </c>
      <c r="C5200" s="10" t="s">
        <v>21</v>
      </c>
      <c r="D5200" s="10" t="s">
        <v>1</v>
      </c>
      <c r="E5200" s="15">
        <v>3.35</v>
      </c>
    </row>
    <row r="5201" spans="1:5" x14ac:dyDescent="0.3">
      <c r="A5201" s="10">
        <v>508</v>
      </c>
      <c r="B5201" s="10">
        <v>30</v>
      </c>
      <c r="C5201" s="10">
        <v>20</v>
      </c>
      <c r="D5201" s="10" t="s">
        <v>1</v>
      </c>
      <c r="E5201" s="15">
        <f>6.654-1.112+0.018-0.56-0.827-0.824-1.112-0.3-0.07-0.1</f>
        <v>1.7669999999999999</v>
      </c>
    </row>
    <row r="5202" spans="1:5" x14ac:dyDescent="0.3">
      <c r="A5202" s="8">
        <v>508</v>
      </c>
      <c r="B5202" s="8">
        <v>30</v>
      </c>
      <c r="C5202" s="8">
        <v>20</v>
      </c>
      <c r="D5202" s="8" t="s">
        <v>1</v>
      </c>
      <c r="E5202" s="9">
        <v>10</v>
      </c>
    </row>
    <row r="5203" spans="1:5" x14ac:dyDescent="0.3">
      <c r="A5203" s="10">
        <v>508</v>
      </c>
      <c r="B5203" s="10">
        <v>30</v>
      </c>
      <c r="C5203" s="10" t="s">
        <v>26</v>
      </c>
      <c r="D5203" s="10" t="s">
        <v>1</v>
      </c>
      <c r="E5203" s="15">
        <f>18.683+1.967-0.483-0.077-1.412-2.192-2.192-2.972</f>
        <v>11.321999999999997</v>
      </c>
    </row>
    <row r="5204" spans="1:5" x14ac:dyDescent="0.3">
      <c r="A5204" s="10">
        <v>508</v>
      </c>
      <c r="B5204" s="10">
        <v>32.54</v>
      </c>
      <c r="C5204" s="10" t="s">
        <v>113</v>
      </c>
      <c r="D5204" s="10" t="s">
        <v>114</v>
      </c>
      <c r="E5204" s="15">
        <f>12.556-4.89-2.666</f>
        <v>5</v>
      </c>
    </row>
    <row r="5205" spans="1:5" x14ac:dyDescent="0.3">
      <c r="A5205" s="8">
        <v>508</v>
      </c>
      <c r="B5205" s="8">
        <v>36</v>
      </c>
      <c r="C5205" s="8">
        <v>20</v>
      </c>
      <c r="D5205" s="8" t="s">
        <v>1</v>
      </c>
      <c r="E5205" s="9">
        <f>6.122-0.63-0.118-0.955-0.315-3.085-0.122-0.101-0.219+0.053+10.15-0.63-0.752-0.596-0.445-0.101-0.068-0.345</f>
        <v>7.8429999999999973</v>
      </c>
    </row>
    <row r="5206" spans="1:5" x14ac:dyDescent="0.3">
      <c r="A5206" s="10">
        <v>508</v>
      </c>
      <c r="B5206" s="10">
        <v>36</v>
      </c>
      <c r="C5206" s="10">
        <v>20</v>
      </c>
      <c r="D5206" s="10" t="s">
        <v>1</v>
      </c>
      <c r="E5206" s="15">
        <f>13.854-0.145-0.547-0.272-0.235-0.106-0.445</f>
        <v>12.103999999999999</v>
      </c>
    </row>
    <row r="5207" spans="1:5" x14ac:dyDescent="0.3">
      <c r="A5207" s="8">
        <v>508</v>
      </c>
      <c r="B5207" s="8">
        <v>36</v>
      </c>
      <c r="C5207" s="8" t="s">
        <v>26</v>
      </c>
      <c r="D5207" s="10" t="s">
        <v>1</v>
      </c>
      <c r="E5207" s="9">
        <f>9.508+2.992-3.097-1.691-0.29-1.012-0.651-0.147-2.351</f>
        <v>3.2610000000000001</v>
      </c>
    </row>
    <row r="5208" spans="1:5" x14ac:dyDescent="0.3">
      <c r="A5208" s="10">
        <v>508</v>
      </c>
      <c r="B5208" s="10">
        <v>40</v>
      </c>
      <c r="C5208" s="10">
        <v>20</v>
      </c>
      <c r="D5208" s="10" t="s">
        <v>1</v>
      </c>
      <c r="E5208" s="15">
        <f>6.81-3.415+2.085-0.272-0.272-0.276-1.267-0.262-0.276-0.272-0.272</f>
        <v>2.3109999999999991</v>
      </c>
    </row>
    <row r="5209" spans="1:5" x14ac:dyDescent="0.3">
      <c r="A5209" s="10">
        <v>508</v>
      </c>
      <c r="B5209" s="10">
        <v>40</v>
      </c>
      <c r="C5209" s="10" t="s">
        <v>26</v>
      </c>
      <c r="D5209" s="10" t="s">
        <v>1</v>
      </c>
      <c r="E5209" s="15">
        <f>3.272+10.194-0.085-3.188+0.001-3.422-0.533</f>
        <v>6.2389999999999981</v>
      </c>
    </row>
    <row r="5210" spans="1:5" x14ac:dyDescent="0.3">
      <c r="A5210" s="10">
        <v>508</v>
      </c>
      <c r="B5210" s="10">
        <v>40</v>
      </c>
      <c r="C5210" s="10" t="s">
        <v>28</v>
      </c>
      <c r="D5210" s="10" t="s">
        <v>1</v>
      </c>
      <c r="E5210" s="15">
        <f>7.469-1.192-0.112-1.141-0.622-0.491-0.491</f>
        <v>3.42</v>
      </c>
    </row>
    <row r="5211" spans="1:5" x14ac:dyDescent="0.3">
      <c r="A5211" s="10">
        <v>508</v>
      </c>
      <c r="B5211" s="10">
        <v>50</v>
      </c>
      <c r="C5211" s="10">
        <v>20</v>
      </c>
      <c r="D5211" s="10" t="s">
        <v>1</v>
      </c>
      <c r="E5211" s="15">
        <f>10.514-1.396+0.016-3.869-0.137</f>
        <v>5.1279999999999983</v>
      </c>
    </row>
    <row r="5212" spans="1:5" x14ac:dyDescent="0.3">
      <c r="A5212" s="10">
        <v>508</v>
      </c>
      <c r="B5212" s="10">
        <v>50</v>
      </c>
      <c r="C5212" s="10" t="s">
        <v>26</v>
      </c>
      <c r="D5212" s="10" t="s">
        <v>1</v>
      </c>
      <c r="E5212" s="15">
        <f>4.75+4.255</f>
        <v>9.004999999999999</v>
      </c>
    </row>
    <row r="5213" spans="1:5" x14ac:dyDescent="0.3">
      <c r="A5213" s="10">
        <v>508</v>
      </c>
      <c r="B5213" s="10">
        <v>50</v>
      </c>
      <c r="C5213" s="10" t="s">
        <v>28</v>
      </c>
      <c r="D5213" s="10" t="s">
        <v>1</v>
      </c>
      <c r="E5213" s="15">
        <f>3.244+3.374-0.258-0.292</f>
        <v>6.0680000000000005</v>
      </c>
    </row>
    <row r="5214" spans="1:5" x14ac:dyDescent="0.3">
      <c r="A5214" s="10">
        <v>508</v>
      </c>
      <c r="B5214" s="10">
        <v>60</v>
      </c>
      <c r="C5214" s="10">
        <v>20</v>
      </c>
      <c r="D5214" s="10" t="s">
        <v>1</v>
      </c>
      <c r="E5214" s="15">
        <f>11.638-0.497+0.088</f>
        <v>11.228999999999999</v>
      </c>
    </row>
    <row r="5215" spans="1:5" x14ac:dyDescent="0.3">
      <c r="A5215" s="10">
        <v>508</v>
      </c>
      <c r="B5215" s="10">
        <v>60</v>
      </c>
      <c r="C5215" s="10" t="s">
        <v>26</v>
      </c>
      <c r="D5215" s="10" t="s">
        <v>1</v>
      </c>
      <c r="E5215" s="15">
        <f>9.96-0.101</f>
        <v>9.859</v>
      </c>
    </row>
    <row r="5216" spans="1:5" x14ac:dyDescent="0.3">
      <c r="A5216" s="10">
        <v>508</v>
      </c>
      <c r="B5216" s="10">
        <v>60</v>
      </c>
      <c r="C5216" s="10" t="s">
        <v>28</v>
      </c>
      <c r="D5216" s="10" t="s">
        <v>1</v>
      </c>
      <c r="E5216" s="15">
        <f>22.88-0.39</f>
        <v>22.49</v>
      </c>
    </row>
    <row r="5217" spans="1:5" x14ac:dyDescent="0.3">
      <c r="A5217" s="10">
        <v>508</v>
      </c>
      <c r="B5217" s="10">
        <v>70</v>
      </c>
      <c r="C5217" s="10">
        <v>20</v>
      </c>
      <c r="D5217" s="10" t="s">
        <v>1</v>
      </c>
      <c r="E5217" s="15">
        <f>9.592-0.199</f>
        <v>9.3930000000000007</v>
      </c>
    </row>
    <row r="5218" spans="1:5" x14ac:dyDescent="0.3">
      <c r="A5218" s="8">
        <v>508</v>
      </c>
      <c r="B5218" s="8">
        <v>70</v>
      </c>
      <c r="C5218" s="8" t="s">
        <v>26</v>
      </c>
      <c r="D5218" s="8" t="s">
        <v>1</v>
      </c>
      <c r="E5218" s="9">
        <f>3.258-2.001-0.864-0.213-0.144+0.048</f>
        <v>8.4000000000000144E-2</v>
      </c>
    </row>
    <row r="5219" spans="1:5" x14ac:dyDescent="0.3">
      <c r="A5219" s="10">
        <v>508</v>
      </c>
      <c r="B5219" s="10">
        <v>70</v>
      </c>
      <c r="C5219" s="10" t="s">
        <v>26</v>
      </c>
      <c r="D5219" s="10" t="s">
        <v>64</v>
      </c>
      <c r="E5219" s="15">
        <f>6.055+2.44</f>
        <v>8.4949999999999992</v>
      </c>
    </row>
    <row r="5220" spans="1:5" x14ac:dyDescent="0.3">
      <c r="A5220" s="10">
        <v>508</v>
      </c>
      <c r="B5220" s="10">
        <v>75</v>
      </c>
      <c r="C5220" s="10" t="s">
        <v>28</v>
      </c>
      <c r="D5220" s="10" t="s">
        <v>1</v>
      </c>
      <c r="E5220" s="15">
        <f>2.72-0.85-0.65-0.273+6.05-0.979</f>
        <v>6.0179999999999998</v>
      </c>
    </row>
    <row r="5221" spans="1:5" x14ac:dyDescent="0.3">
      <c r="A5221" s="10">
        <v>508</v>
      </c>
      <c r="B5221" s="10">
        <v>80</v>
      </c>
      <c r="C5221" s="10">
        <v>20</v>
      </c>
      <c r="D5221" s="10" t="s">
        <v>1</v>
      </c>
      <c r="E5221" s="15">
        <f>5.624-0.91</f>
        <v>4.7139999999999995</v>
      </c>
    </row>
    <row r="5222" spans="1:5" x14ac:dyDescent="0.3">
      <c r="A5222" s="10">
        <v>508</v>
      </c>
      <c r="B5222" s="10">
        <v>80</v>
      </c>
      <c r="C5222" s="10" t="s">
        <v>26</v>
      </c>
      <c r="D5222" s="10" t="s">
        <v>1</v>
      </c>
      <c r="E5222" s="15">
        <v>20.89</v>
      </c>
    </row>
    <row r="5223" spans="1:5" x14ac:dyDescent="0.3">
      <c r="A5223" s="10">
        <v>508</v>
      </c>
      <c r="B5223" s="10">
        <v>90</v>
      </c>
      <c r="C5223" s="10" t="s">
        <v>26</v>
      </c>
      <c r="D5223" s="10" t="s">
        <v>1</v>
      </c>
      <c r="E5223" s="15">
        <f>7.08+7.195</f>
        <v>14.275</v>
      </c>
    </row>
    <row r="5224" spans="1:5" x14ac:dyDescent="0.3">
      <c r="A5224" s="10">
        <v>508</v>
      </c>
      <c r="B5224" s="10">
        <v>100</v>
      </c>
      <c r="C5224" s="10" t="s">
        <v>26</v>
      </c>
      <c r="D5224" s="10" t="s">
        <v>1</v>
      </c>
      <c r="E5224" s="15">
        <f>7.08+7.25</f>
        <v>14.33</v>
      </c>
    </row>
    <row r="5225" spans="1:5" x14ac:dyDescent="0.3">
      <c r="A5225" s="10">
        <v>510</v>
      </c>
      <c r="B5225" s="10">
        <v>73</v>
      </c>
      <c r="C5225" s="10" t="s">
        <v>28</v>
      </c>
      <c r="D5225" s="10" t="s">
        <v>1</v>
      </c>
      <c r="E5225" s="15">
        <v>7.73</v>
      </c>
    </row>
    <row r="5226" spans="1:5" x14ac:dyDescent="0.3">
      <c r="A5226" s="8">
        <v>523</v>
      </c>
      <c r="B5226" s="8">
        <v>16.5</v>
      </c>
      <c r="C5226" s="8" t="s">
        <v>56</v>
      </c>
      <c r="D5226" s="8" t="s">
        <v>57</v>
      </c>
      <c r="E5226" s="9">
        <f>4.593-0.55+0.001</f>
        <v>4.0440000000000005</v>
      </c>
    </row>
    <row r="5227" spans="1:5" x14ac:dyDescent="0.3">
      <c r="A5227" s="10">
        <v>530</v>
      </c>
      <c r="B5227" s="10">
        <v>4</v>
      </c>
      <c r="C5227" s="10">
        <v>20</v>
      </c>
      <c r="D5227" s="10" t="s">
        <v>7</v>
      </c>
      <c r="E5227" s="15">
        <f>1.869+1.869</f>
        <v>3.738</v>
      </c>
    </row>
    <row r="5228" spans="1:5" x14ac:dyDescent="0.3">
      <c r="A5228" s="10">
        <v>530</v>
      </c>
      <c r="B5228" s="10">
        <v>5</v>
      </c>
      <c r="C5228" s="10">
        <v>20</v>
      </c>
      <c r="D5228" s="10" t="s">
        <v>7</v>
      </c>
      <c r="E5228" s="15">
        <f>0.792-0.234+0.793-0.266-0.037-0.139+0.79-0.12+0.003-0.168-0.25-0.117-0.135-0.208+1.068-0.586-0.07-0.062-0.068-0.035-0.56-0.049-0.037-0.089-0.069+0.777+1.476-0.113-0.234-0.073+0.563-0.233-0.025-0.175-0.144-0.102</f>
        <v>1.8640000000000003</v>
      </c>
    </row>
    <row r="5229" spans="1:5" x14ac:dyDescent="0.3">
      <c r="A5229" s="10">
        <v>530</v>
      </c>
      <c r="B5229" s="10">
        <v>5</v>
      </c>
      <c r="C5229" s="10" t="s">
        <v>26</v>
      </c>
      <c r="D5229" s="10" t="s">
        <v>7</v>
      </c>
      <c r="E5229" s="15">
        <f>0.777-0.167-0.398</f>
        <v>0.21199999999999997</v>
      </c>
    </row>
    <row r="5230" spans="1:5" x14ac:dyDescent="0.3">
      <c r="A5230" s="10">
        <v>530</v>
      </c>
      <c r="B5230" s="10">
        <v>6</v>
      </c>
      <c r="C5230" s="10" t="s">
        <v>58</v>
      </c>
      <c r="D5230" s="10" t="s">
        <v>7</v>
      </c>
      <c r="E5230" s="15">
        <f>0.566+1.426-0.037-0.083-0.083-0.204-0.103</f>
        <v>1.4820000000000002</v>
      </c>
    </row>
    <row r="5231" spans="1:5" x14ac:dyDescent="0.3">
      <c r="A5231" s="10">
        <v>530</v>
      </c>
      <c r="B5231" s="10">
        <v>6</v>
      </c>
      <c r="C5231" s="10">
        <v>20</v>
      </c>
      <c r="D5231" s="10" t="s">
        <v>7</v>
      </c>
      <c r="E5231" s="15">
        <f>0.505+1.514+0.165-0.082-0.127-0.028-0.397-0.099-0.02-0.02-0.065-0.081-0.88-0.101-0.083-0.194+1.939-0.034-0.034-0.16-0.255</f>
        <v>1.4630000000000005</v>
      </c>
    </row>
    <row r="5232" spans="1:5" x14ac:dyDescent="0.3">
      <c r="A5232" s="10">
        <v>530</v>
      </c>
      <c r="B5232" s="10">
        <v>7</v>
      </c>
      <c r="C5232" s="10">
        <v>20</v>
      </c>
      <c r="D5232" s="10" t="s">
        <v>7</v>
      </c>
      <c r="E5232" s="15">
        <f>0.813-0.156-0.156+1.192-0.371-0.096-0.096-0.114-0.381-0.131+0.632</f>
        <v>1.1359999999999997</v>
      </c>
    </row>
    <row r="5233" spans="1:5" x14ac:dyDescent="0.3">
      <c r="A5233" s="10">
        <v>530</v>
      </c>
      <c r="B5233" s="10">
        <v>7</v>
      </c>
      <c r="C5233" s="10" t="s">
        <v>26</v>
      </c>
      <c r="D5233" s="10" t="s">
        <v>7</v>
      </c>
      <c r="E5233" s="15">
        <f>0.84-0.096-0.089+0.65-0.018-0.186-0.096-0.112-0.276</f>
        <v>0.6170000000000001</v>
      </c>
    </row>
    <row r="5234" spans="1:5" x14ac:dyDescent="0.3">
      <c r="A5234" s="10">
        <v>530</v>
      </c>
      <c r="B5234" s="10">
        <v>7</v>
      </c>
      <c r="C5234" s="10" t="s">
        <v>48</v>
      </c>
      <c r="D5234" s="10" t="s">
        <v>22</v>
      </c>
      <c r="E5234" s="15">
        <f>14.845+0.269-0.269</f>
        <v>14.845000000000001</v>
      </c>
    </row>
    <row r="5235" spans="1:5" x14ac:dyDescent="0.3">
      <c r="A5235" s="10">
        <v>530</v>
      </c>
      <c r="B5235" s="10">
        <v>8</v>
      </c>
      <c r="C5235" s="10">
        <v>20</v>
      </c>
      <c r="D5235" s="10" t="s">
        <v>1</v>
      </c>
      <c r="E5235" s="15">
        <f>7.07-0.069-0.323-0.037-1.181-0.276-0.161-0.032-0.247-0.215</f>
        <v>4.5290000000000008</v>
      </c>
    </row>
    <row r="5236" spans="1:5" x14ac:dyDescent="0.3">
      <c r="A5236" s="10">
        <v>530</v>
      </c>
      <c r="B5236" s="10">
        <v>8</v>
      </c>
      <c r="C5236" s="10" t="s">
        <v>26</v>
      </c>
      <c r="D5236" s="10" t="s">
        <v>7</v>
      </c>
      <c r="E5236" s="15">
        <f>3.2+1.679-0.108-0.214-0.359-0.111+0.917-0.424-0.168-0.215-0.11-0.316-0.983-0.106-0.107-0.889-0.273-0.278-0.178-0.108-0.142-0.13</f>
        <v>0.57699999999999985</v>
      </c>
    </row>
    <row r="5237" spans="1:5" x14ac:dyDescent="0.3">
      <c r="A5237" s="10">
        <v>530</v>
      </c>
      <c r="B5237" s="10">
        <v>8</v>
      </c>
      <c r="C5237" s="8" t="s">
        <v>48</v>
      </c>
      <c r="D5237" s="8" t="s">
        <v>7</v>
      </c>
      <c r="E5237" s="15">
        <f>1.236-0.111-0.32+1.123-0.263-0.121-0.45-0.163-0.331</f>
        <v>0.60000000000000009</v>
      </c>
    </row>
    <row r="5238" spans="1:5" x14ac:dyDescent="0.3">
      <c r="A5238" s="10">
        <v>530</v>
      </c>
      <c r="B5238" s="10">
        <v>8</v>
      </c>
      <c r="C5238" s="10" t="s">
        <v>73</v>
      </c>
      <c r="D5238" s="10" t="s">
        <v>7</v>
      </c>
      <c r="E5238" s="15">
        <f>5.92+0.618-0.63-0.215</f>
        <v>5.6930000000000005</v>
      </c>
    </row>
    <row r="5239" spans="1:5" x14ac:dyDescent="0.3">
      <c r="A5239" s="8">
        <v>530</v>
      </c>
      <c r="B5239" s="8">
        <v>9</v>
      </c>
      <c r="C5239" s="8" t="s">
        <v>58</v>
      </c>
      <c r="D5239" s="8" t="s">
        <v>25</v>
      </c>
      <c r="E5239" s="15">
        <f>1.351-0.123-0.249</f>
        <v>0.97899999999999998</v>
      </c>
    </row>
    <row r="5240" spans="1:5" x14ac:dyDescent="0.3">
      <c r="A5240" s="10">
        <v>530</v>
      </c>
      <c r="B5240" s="10">
        <v>9</v>
      </c>
      <c r="C5240" s="10">
        <v>20</v>
      </c>
      <c r="D5240" s="10" t="s">
        <v>7</v>
      </c>
      <c r="E5240" s="15">
        <f>2.047-0.123-0.242-0.043-0.359</f>
        <v>1.2800000000000002</v>
      </c>
    </row>
    <row r="5241" spans="1:5" x14ac:dyDescent="0.3">
      <c r="A5241" s="10">
        <v>530</v>
      </c>
      <c r="B5241" s="10">
        <v>9</v>
      </c>
      <c r="C5241" s="10">
        <v>20</v>
      </c>
      <c r="D5241" s="10" t="s">
        <v>1</v>
      </c>
      <c r="E5241" s="15">
        <f>6.622-0.187-0.242-0.124-0.122</f>
        <v>5.9470000000000001</v>
      </c>
    </row>
    <row r="5242" spans="1:5" x14ac:dyDescent="0.3">
      <c r="A5242" s="10">
        <v>530</v>
      </c>
      <c r="B5242" s="10">
        <v>9</v>
      </c>
      <c r="C5242" s="10" t="s">
        <v>26</v>
      </c>
      <c r="D5242" s="10" t="s">
        <v>7</v>
      </c>
      <c r="E5242" s="15">
        <f>1.11+1.619+0.809-0.825-0.053</f>
        <v>2.66</v>
      </c>
    </row>
    <row r="5243" spans="1:5" x14ac:dyDescent="0.3">
      <c r="A5243" s="10">
        <v>530</v>
      </c>
      <c r="B5243" s="10">
        <v>9</v>
      </c>
      <c r="C5243" s="10" t="s">
        <v>21</v>
      </c>
      <c r="D5243" s="10" t="s">
        <v>7</v>
      </c>
      <c r="E5243" s="15">
        <f>0.694+0.723+0.752</f>
        <v>2.1689999999999996</v>
      </c>
    </row>
    <row r="5244" spans="1:5" x14ac:dyDescent="0.3">
      <c r="A5244" s="10">
        <v>530</v>
      </c>
      <c r="B5244" s="10">
        <v>9</v>
      </c>
      <c r="C5244" s="10" t="s">
        <v>37</v>
      </c>
      <c r="D5244" s="10" t="s">
        <v>103</v>
      </c>
      <c r="E5244" s="15">
        <f>1.237-0.171</f>
        <v>1.0660000000000001</v>
      </c>
    </row>
    <row r="5245" spans="1:5" x14ac:dyDescent="0.3">
      <c r="A5245" s="8">
        <v>530</v>
      </c>
      <c r="B5245" s="8">
        <v>10</v>
      </c>
      <c r="C5245" s="8" t="s">
        <v>188</v>
      </c>
      <c r="D5245" s="8" t="s">
        <v>7</v>
      </c>
      <c r="E5245" s="15">
        <v>1.282</v>
      </c>
    </row>
    <row r="5246" spans="1:5" x14ac:dyDescent="0.3">
      <c r="A5246" s="10">
        <v>530</v>
      </c>
      <c r="B5246" s="10">
        <v>10</v>
      </c>
      <c r="C5246" s="10">
        <v>20</v>
      </c>
      <c r="D5246" s="10" t="s">
        <v>7</v>
      </c>
      <c r="E5246" s="15">
        <f>1.177-0.033-0.279+0.004-0.361+2.18+1.205-0.177-0.267-0.065-0.332-0.116-0.119-0.238-0.033-0.136-0.072-0.202-0.423-0.293-0.527-0.215-0.199-0.058+0.802+0.769+1.924-0.527-0.091</f>
        <v>3.298</v>
      </c>
    </row>
    <row r="5247" spans="1:5" x14ac:dyDescent="0.3">
      <c r="A5247" s="10">
        <v>530</v>
      </c>
      <c r="B5247" s="10">
        <v>10</v>
      </c>
      <c r="C5247" s="10">
        <v>20</v>
      </c>
      <c r="D5247" s="10" t="s">
        <v>1</v>
      </c>
      <c r="E5247" s="15">
        <f>1.137-0.047-0.139-0.123+14.74-0.275-0.281-0.303-0.42-0.191-0.087-0.226-1.478-0.208-0.349-0.828-0.143-0.278-0.143</f>
        <v>10.357999999999995</v>
      </c>
    </row>
    <row r="5248" spans="1:5" x14ac:dyDescent="0.3">
      <c r="A5248" s="10">
        <v>530</v>
      </c>
      <c r="B5248" s="10">
        <v>10</v>
      </c>
      <c r="C5248" s="10" t="s">
        <v>26</v>
      </c>
      <c r="D5248" s="10" t="s">
        <v>7</v>
      </c>
      <c r="E5248" s="15">
        <f>3.078-0.611-0.527+0.103-0.136+59.046-0.246-0.133-0.137-1.56+1.56-0.052-0.215-2.73-0.21-0.358-0.28-0.198-0.396-0.104-0.431-0.085-1.56-0.137-0.201-0.657-0.121-0.341-0.267+2.918-0.819-0.166-0.108-0.273-0.397-0.207</f>
        <v>53.041999999999987</v>
      </c>
    </row>
    <row r="5249" spans="1:5" x14ac:dyDescent="0.3">
      <c r="A5249" s="10">
        <v>530</v>
      </c>
      <c r="B5249" s="10">
        <v>10</v>
      </c>
      <c r="C5249" s="10" t="s">
        <v>26</v>
      </c>
      <c r="D5249" s="10" t="s">
        <v>1</v>
      </c>
      <c r="E5249" s="15">
        <f>8.35+12.495-0.778-1.454-1.443-0.096-0.187-0.123</f>
        <v>16.763999999999996</v>
      </c>
    </row>
    <row r="5250" spans="1:5" x14ac:dyDescent="0.3">
      <c r="A5250" s="10">
        <v>530</v>
      </c>
      <c r="B5250" s="10">
        <v>10</v>
      </c>
      <c r="C5250" s="10" t="s">
        <v>52</v>
      </c>
      <c r="D5250" s="10" t="s">
        <v>22</v>
      </c>
      <c r="E5250" s="15">
        <v>1.577</v>
      </c>
    </row>
    <row r="5251" spans="1:5" x14ac:dyDescent="0.3">
      <c r="A5251" s="10">
        <v>530</v>
      </c>
      <c r="B5251" s="10">
        <v>10</v>
      </c>
      <c r="C5251" s="10" t="s">
        <v>52</v>
      </c>
      <c r="D5251" s="10" t="s">
        <v>7</v>
      </c>
      <c r="E5251" s="15">
        <v>3.8740000000000001</v>
      </c>
    </row>
    <row r="5252" spans="1:5" x14ac:dyDescent="0.3">
      <c r="A5252" s="10">
        <v>530</v>
      </c>
      <c r="B5252" s="10">
        <v>10</v>
      </c>
      <c r="C5252" s="10" t="s">
        <v>73</v>
      </c>
      <c r="D5252" s="10" t="s">
        <v>7</v>
      </c>
      <c r="E5252" s="15">
        <f>1.763+1.732</f>
        <v>3.4950000000000001</v>
      </c>
    </row>
    <row r="5253" spans="1:5" x14ac:dyDescent="0.3">
      <c r="A5253" s="10">
        <v>530</v>
      </c>
      <c r="B5253" s="10">
        <v>10</v>
      </c>
      <c r="C5253" s="10" t="s">
        <v>21</v>
      </c>
      <c r="D5253" s="10" t="s">
        <v>7</v>
      </c>
      <c r="E5253" s="15">
        <f>0.983+2.21+0.182-0.728-2.465-0.073</f>
        <v>0.10900000000000039</v>
      </c>
    </row>
    <row r="5254" spans="1:5" x14ac:dyDescent="0.3">
      <c r="A5254" s="10">
        <v>530</v>
      </c>
      <c r="B5254" s="10">
        <v>10</v>
      </c>
      <c r="C5254" s="10" t="s">
        <v>48</v>
      </c>
      <c r="D5254" s="10" t="s">
        <v>7</v>
      </c>
      <c r="E5254" s="15">
        <f>2.693-0.22</f>
        <v>2.4729999999999999</v>
      </c>
    </row>
    <row r="5255" spans="1:5" x14ac:dyDescent="0.3">
      <c r="A5255" s="10">
        <v>530</v>
      </c>
      <c r="B5255" s="10">
        <v>10</v>
      </c>
      <c r="C5255" s="10" t="s">
        <v>102</v>
      </c>
      <c r="D5255" s="10" t="s">
        <v>22</v>
      </c>
      <c r="E5255" s="15">
        <v>0.42099999999999999</v>
      </c>
    </row>
    <row r="5256" spans="1:5" x14ac:dyDescent="0.3">
      <c r="A5256" s="10">
        <v>530</v>
      </c>
      <c r="B5256" s="10">
        <v>10</v>
      </c>
      <c r="C5256" s="10" t="s">
        <v>37</v>
      </c>
      <c r="D5256" s="10" t="s">
        <v>125</v>
      </c>
      <c r="E5256" s="15">
        <f>0.492-0.267-0.098+4.116-0.273</f>
        <v>3.9699999999999993</v>
      </c>
    </row>
    <row r="5257" spans="1:5" x14ac:dyDescent="0.3">
      <c r="A5257" s="10">
        <v>530</v>
      </c>
      <c r="B5257" s="10">
        <v>11</v>
      </c>
      <c r="C5257" s="10" t="s">
        <v>26</v>
      </c>
      <c r="D5257" s="10" t="s">
        <v>7</v>
      </c>
      <c r="E5257" s="15">
        <f>1.381-0.15+0.009-0.278+2.992-0.429</f>
        <v>3.5249999999999999</v>
      </c>
    </row>
    <row r="5258" spans="1:5" x14ac:dyDescent="0.3">
      <c r="A5258" s="10">
        <v>530</v>
      </c>
      <c r="B5258" s="10">
        <v>12</v>
      </c>
      <c r="C5258" s="10" t="s">
        <v>58</v>
      </c>
      <c r="D5258" s="10" t="s">
        <v>25</v>
      </c>
      <c r="E5258" s="15">
        <f>3.644+8.21-0.228-0.117-0.086-0.543-0.662+0.012-0.075-0.473-0.616</f>
        <v>9.0660000000000007</v>
      </c>
    </row>
    <row r="5259" spans="1:5" x14ac:dyDescent="0.3">
      <c r="A5259" s="10">
        <v>530</v>
      </c>
      <c r="B5259" s="10">
        <v>12</v>
      </c>
      <c r="C5259" s="10" t="s">
        <v>58</v>
      </c>
      <c r="D5259" s="10" t="s">
        <v>7</v>
      </c>
      <c r="E5259" s="15">
        <f>3.334+3.22+1.15</f>
        <v>7.7040000000000006</v>
      </c>
    </row>
    <row r="5260" spans="1:5" x14ac:dyDescent="0.3">
      <c r="A5260" s="10">
        <v>530</v>
      </c>
      <c r="B5260" s="10">
        <v>12</v>
      </c>
      <c r="C5260" s="10" t="s">
        <v>136</v>
      </c>
      <c r="D5260" s="10" t="s">
        <v>137</v>
      </c>
      <c r="E5260" s="15">
        <v>1.36</v>
      </c>
    </row>
    <row r="5261" spans="1:5" x14ac:dyDescent="0.3">
      <c r="A5261" s="10">
        <v>530</v>
      </c>
      <c r="B5261" s="10">
        <v>12</v>
      </c>
      <c r="C5261" s="10">
        <v>20</v>
      </c>
      <c r="D5261" s="10" t="s">
        <v>7</v>
      </c>
      <c r="E5261" s="15">
        <f>2.039-0.07-0.628-0.318+1.456-0.549-0.163-0.265-0.473-0.162-0.318-0.21+1.548-0.039-0.163-0.045-0.21</f>
        <v>1.4300000000000006</v>
      </c>
    </row>
    <row r="5262" spans="1:5" x14ac:dyDescent="0.3">
      <c r="A5262" s="10">
        <v>530</v>
      </c>
      <c r="B5262" s="10">
        <v>12</v>
      </c>
      <c r="C5262" s="10">
        <v>20</v>
      </c>
      <c r="D5262" s="10" t="s">
        <v>1</v>
      </c>
      <c r="E5262" s="15">
        <f>1.504-0.413-0.354-0.32+8.8-0.055-0.163-0.117-0.161-0.086-3.586-0.164</f>
        <v>4.8849999999999998</v>
      </c>
    </row>
    <row r="5263" spans="1:5" x14ac:dyDescent="0.3">
      <c r="A5263" s="10">
        <v>530</v>
      </c>
      <c r="B5263" s="10">
        <v>12</v>
      </c>
      <c r="C5263" s="10" t="s">
        <v>26</v>
      </c>
      <c r="D5263" s="10" t="s">
        <v>7</v>
      </c>
      <c r="E5263" s="15">
        <f>4.077-0.163-0.16-0.194-0.475-0.086-0.534-0.551-0.245-0.239-0.045-0.473-0.086-0.542-0.067+0.935-0.199-0.186-0.132-0.07-0.148</f>
        <v>0.41699999999999993</v>
      </c>
    </row>
    <row r="5264" spans="1:5" x14ac:dyDescent="0.3">
      <c r="A5264" s="10">
        <v>530</v>
      </c>
      <c r="B5264" s="10">
        <v>12</v>
      </c>
      <c r="C5264" s="10" t="s">
        <v>26</v>
      </c>
      <c r="D5264" s="10" t="s">
        <v>1</v>
      </c>
      <c r="E5264" s="15">
        <v>7.2999999999999995E-2</v>
      </c>
    </row>
    <row r="5265" spans="1:5" x14ac:dyDescent="0.3">
      <c r="A5265" s="10">
        <v>530</v>
      </c>
      <c r="B5265" s="10">
        <v>12</v>
      </c>
      <c r="C5265" s="10" t="s">
        <v>26</v>
      </c>
      <c r="D5265" s="10" t="s">
        <v>1</v>
      </c>
      <c r="E5265" s="15">
        <f>20.04+3.36+1.58-0.251-0.333+20.185+5.005+4.875-1.15-3.426-0.144-0.033-0.163</f>
        <v>49.545000000000002</v>
      </c>
    </row>
    <row r="5266" spans="1:5" x14ac:dyDescent="0.3">
      <c r="A5266" s="10">
        <v>530</v>
      </c>
      <c r="B5266" s="10">
        <v>12</v>
      </c>
      <c r="C5266" s="10" t="s">
        <v>138</v>
      </c>
      <c r="D5266" s="10" t="s">
        <v>1</v>
      </c>
      <c r="E5266" s="15">
        <v>8.2149999999999999</v>
      </c>
    </row>
    <row r="5267" spans="1:5" x14ac:dyDescent="0.3">
      <c r="A5267" s="10">
        <v>530</v>
      </c>
      <c r="B5267" s="10">
        <v>12</v>
      </c>
      <c r="C5267" s="10" t="s">
        <v>21</v>
      </c>
      <c r="D5267" s="10" t="s">
        <v>22</v>
      </c>
      <c r="E5267" s="15">
        <f>3.235-0.179-0.086+0.004-0.225-0.318-0.318-0.162-0.442-0.413-0.312-0.086-0.16-0.324</f>
        <v>0.21400000000000002</v>
      </c>
    </row>
    <row r="5268" spans="1:5" x14ac:dyDescent="0.3">
      <c r="A5268" s="8">
        <v>530</v>
      </c>
      <c r="B5268" s="8">
        <v>12</v>
      </c>
      <c r="C5268" s="8" t="s">
        <v>29</v>
      </c>
      <c r="D5268" s="8" t="s">
        <v>49</v>
      </c>
      <c r="E5268" s="9">
        <f>7.048-0.507-0.11</f>
        <v>6.431</v>
      </c>
    </row>
    <row r="5269" spans="1:5" x14ac:dyDescent="0.3">
      <c r="A5269" s="10">
        <v>530</v>
      </c>
      <c r="B5269" s="10">
        <v>14</v>
      </c>
      <c r="C5269" s="10">
        <v>20</v>
      </c>
      <c r="D5269" s="10" t="s">
        <v>7</v>
      </c>
      <c r="E5269" s="15">
        <f>1.799+6.414-0.188-0.549-0.117-0.186-0.549-0.407-0.24-2.16-0.612-0.495-0.769-0.027</f>
        <v>1.9139999999999973</v>
      </c>
    </row>
    <row r="5270" spans="1:5" x14ac:dyDescent="0.3">
      <c r="A5270" s="10">
        <v>530</v>
      </c>
      <c r="B5270" s="10">
        <v>14</v>
      </c>
      <c r="C5270" s="10">
        <v>20</v>
      </c>
      <c r="D5270" s="10" t="s">
        <v>2</v>
      </c>
      <c r="E5270" s="15">
        <f>2.79+1.985-1.371-0.309-0.084</f>
        <v>3.0110000000000001</v>
      </c>
    </row>
    <row r="5271" spans="1:5" x14ac:dyDescent="0.3">
      <c r="A5271" s="10">
        <v>530</v>
      </c>
      <c r="B5271" s="10">
        <v>14</v>
      </c>
      <c r="C5271" s="10" t="s">
        <v>26</v>
      </c>
      <c r="D5271" s="10" t="s">
        <v>1</v>
      </c>
      <c r="E5271" s="15">
        <f>11.13-0.376-0.878-0.224-0.365-0.186</f>
        <v>9.1010000000000009</v>
      </c>
    </row>
    <row r="5272" spans="1:5" x14ac:dyDescent="0.3">
      <c r="A5272" s="10">
        <v>530</v>
      </c>
      <c r="B5272" s="10">
        <v>14</v>
      </c>
      <c r="C5272" s="10" t="s">
        <v>26</v>
      </c>
      <c r="D5272" s="10" t="s">
        <v>1</v>
      </c>
      <c r="E5272" s="15">
        <v>1.89</v>
      </c>
    </row>
    <row r="5273" spans="1:5" x14ac:dyDescent="0.3">
      <c r="A5273" s="10">
        <v>530</v>
      </c>
      <c r="B5273" s="10">
        <v>14</v>
      </c>
      <c r="C5273" s="10" t="s">
        <v>87</v>
      </c>
      <c r="D5273" s="10" t="s">
        <v>189</v>
      </c>
      <c r="E5273" s="15">
        <f>15.096-4.308-0.548</f>
        <v>10.24</v>
      </c>
    </row>
    <row r="5274" spans="1:5" x14ac:dyDescent="0.3">
      <c r="A5274" s="10">
        <v>530</v>
      </c>
      <c r="B5274" s="10">
        <v>14</v>
      </c>
      <c r="C5274" s="10" t="s">
        <v>31</v>
      </c>
      <c r="D5274" s="10" t="s">
        <v>32</v>
      </c>
      <c r="E5274" s="15">
        <f>1.871+9.336</f>
        <v>11.207000000000001</v>
      </c>
    </row>
    <row r="5275" spans="1:5" x14ac:dyDescent="0.3">
      <c r="A5275" s="10">
        <v>530</v>
      </c>
      <c r="B5275" s="10">
        <v>16</v>
      </c>
      <c r="C5275" s="10">
        <v>20</v>
      </c>
      <c r="D5275" s="10" t="s">
        <v>7</v>
      </c>
      <c r="E5275" s="15">
        <f>1.318-0.4-0.039-0.114-0.175</f>
        <v>0.59000000000000008</v>
      </c>
    </row>
    <row r="5276" spans="1:5" x14ac:dyDescent="0.3">
      <c r="A5276" s="8">
        <v>530</v>
      </c>
      <c r="B5276" s="8">
        <v>16</v>
      </c>
      <c r="C5276" s="8">
        <v>20</v>
      </c>
      <c r="D5276" s="8" t="s">
        <v>1</v>
      </c>
      <c r="E5276" s="9">
        <f>4.72+0.91-0.29-0.205-0.069-0.131-0.53-0.23-0.28-0.48-0.127-0.216-0.143-0.131-0.475-0.425-0.069+6.892-0.216-0.158-0.218-0.158-0.166-0.052</f>
        <v>7.7529999999999992</v>
      </c>
    </row>
    <row r="5277" spans="1:5" x14ac:dyDescent="0.3">
      <c r="A5277" s="10">
        <v>530</v>
      </c>
      <c r="B5277" s="10">
        <v>16</v>
      </c>
      <c r="C5277" s="10" t="s">
        <v>26</v>
      </c>
      <c r="D5277" s="10" t="s">
        <v>7</v>
      </c>
      <c r="E5277" s="15">
        <f>9.207+1.414-0.091-0.418-0.34-0.599-0.073-0.217-0.114-0.114-0.844-1.447-0.175-0.525-0.175-0.573-0.361-0.422-0.217-0.093-0.367-0.217-0.834-0.093-0.439-0.256-0.124-0.04-0.371-0.217-0.165-0.282-0.383+1.47-0.422-0.169-0.473-0.48+0.074+2.434+2.434-2.434-1.3-0.215-0.959+0.04</f>
        <v>3.4999999999999441E-2</v>
      </c>
    </row>
    <row r="5278" spans="1:5" x14ac:dyDescent="0.3">
      <c r="A5278" s="10">
        <v>530</v>
      </c>
      <c r="B5278" s="10">
        <v>16</v>
      </c>
      <c r="C5278" s="10" t="s">
        <v>26</v>
      </c>
      <c r="D5278" s="10" t="s">
        <v>22</v>
      </c>
      <c r="E5278" s="15">
        <f>0.379-0.046+2.434</f>
        <v>2.7670000000000003</v>
      </c>
    </row>
    <row r="5279" spans="1:5" x14ac:dyDescent="0.3">
      <c r="A5279" s="10">
        <v>530</v>
      </c>
      <c r="B5279" s="10">
        <v>16</v>
      </c>
      <c r="C5279" s="10" t="s">
        <v>26</v>
      </c>
      <c r="D5279" s="10" t="s">
        <v>1</v>
      </c>
      <c r="E5279" s="15">
        <f>12.35-1.59-0.224+14.62-1.353-1.365-10.941-0.209</f>
        <v>11.287999999999998</v>
      </c>
    </row>
    <row r="5280" spans="1:5" x14ac:dyDescent="0.3">
      <c r="A5280" s="10">
        <v>530</v>
      </c>
      <c r="B5280" s="10">
        <v>16</v>
      </c>
      <c r="C5280" s="10" t="s">
        <v>102</v>
      </c>
      <c r="D5280" s="10" t="s">
        <v>25</v>
      </c>
      <c r="E5280" s="15">
        <f>15.772+2.263-0.073-0.258-0.418-0.155-0.77-2.28-0.832-0.935-1.116-0.319</f>
        <v>10.879</v>
      </c>
    </row>
    <row r="5281" spans="1:5" x14ac:dyDescent="0.3">
      <c r="A5281" s="10">
        <v>530</v>
      </c>
      <c r="B5281" s="10">
        <v>16</v>
      </c>
      <c r="C5281" s="10" t="s">
        <v>37</v>
      </c>
      <c r="D5281" s="10" t="s">
        <v>125</v>
      </c>
      <c r="E5281" s="15">
        <f>18.031-0.116-1.429-1.935-0.741-0.217-6.235-0.151-2.182-2.182-0.217+2.15-1.243-0.031</f>
        <v>3.5019999999999993</v>
      </c>
    </row>
    <row r="5282" spans="1:5" x14ac:dyDescent="0.3">
      <c r="A5282" s="8">
        <v>530</v>
      </c>
      <c r="B5282" s="8">
        <v>18</v>
      </c>
      <c r="C5282" s="13">
        <v>10</v>
      </c>
      <c r="D5282" s="8" t="s">
        <v>1</v>
      </c>
      <c r="E5282" s="9">
        <f>21.058+4.67+2.841-0.426-5.578-0.561-0.101-0.099-0.081-0.216-0.943-0.035</f>
        <v>20.529000000000003</v>
      </c>
    </row>
    <row r="5283" spans="1:5" x14ac:dyDescent="0.3">
      <c r="A5283" s="10">
        <v>530</v>
      </c>
      <c r="B5283" s="10">
        <v>18</v>
      </c>
      <c r="C5283" s="10" t="s">
        <v>26</v>
      </c>
      <c r="D5283" s="10" t="s">
        <v>1</v>
      </c>
      <c r="E5283" s="15">
        <f>13.925-0.393-8.879</f>
        <v>4.6530000000000005</v>
      </c>
    </row>
    <row r="5284" spans="1:5" x14ac:dyDescent="0.3">
      <c r="A5284" s="10">
        <v>530</v>
      </c>
      <c r="B5284" s="10">
        <v>18</v>
      </c>
      <c r="C5284" s="10" t="s">
        <v>26</v>
      </c>
      <c r="D5284" s="10" t="s">
        <v>1</v>
      </c>
      <c r="E5284" s="15">
        <f>12.095-5.036-4.975</f>
        <v>2.0840000000000014</v>
      </c>
    </row>
    <row r="5285" spans="1:5" x14ac:dyDescent="0.3">
      <c r="A5285" s="10">
        <v>530</v>
      </c>
      <c r="B5285" s="10">
        <v>20</v>
      </c>
      <c r="C5285" s="10">
        <v>20</v>
      </c>
      <c r="D5285" s="10" t="s">
        <v>7</v>
      </c>
      <c r="E5285" s="15">
        <f>9.205-0.064+0.006-3.07-0.273-0.518-0.062-0.472</f>
        <v>4.7520000000000007</v>
      </c>
    </row>
    <row r="5286" spans="1:5" x14ac:dyDescent="0.3">
      <c r="A5286" s="10">
        <v>530</v>
      </c>
      <c r="B5286" s="10">
        <v>20</v>
      </c>
      <c r="C5286" s="10">
        <v>20</v>
      </c>
      <c r="D5286" s="10" t="s">
        <v>1</v>
      </c>
      <c r="E5286" s="15">
        <f>12.877-5.161-0.059-0.179-0.418+2.488-0.135-1.044-0.522-0.522-0.219-0.573</f>
        <v>6.5329999999999995</v>
      </c>
    </row>
    <row r="5287" spans="1:5" x14ac:dyDescent="0.3">
      <c r="A5287" s="10">
        <v>530</v>
      </c>
      <c r="B5287" s="10">
        <v>20</v>
      </c>
      <c r="C5287" s="10" t="s">
        <v>26</v>
      </c>
      <c r="D5287" s="10" t="s">
        <v>2</v>
      </c>
      <c r="E5287" s="15">
        <f>9.439-0.241+4.828-9.201-0.595-2.43-0.208-0.769-0.653</f>
        <v>0.16999999999999937</v>
      </c>
    </row>
    <row r="5288" spans="1:5" x14ac:dyDescent="0.3">
      <c r="A5288" s="10">
        <v>530</v>
      </c>
      <c r="B5288" s="10">
        <v>20</v>
      </c>
      <c r="C5288" s="10" t="s">
        <v>26</v>
      </c>
      <c r="D5288" s="10" t="s">
        <v>64</v>
      </c>
      <c r="E5288" s="15">
        <f>5.686-0.921-0.847-0.468-1.024-1.081-0.635</f>
        <v>0.70999999999999974</v>
      </c>
    </row>
    <row r="5289" spans="1:5" x14ac:dyDescent="0.3">
      <c r="A5289" s="10">
        <v>530</v>
      </c>
      <c r="B5289" s="10">
        <v>20</v>
      </c>
      <c r="C5289" s="10" t="s">
        <v>26</v>
      </c>
      <c r="D5289" s="10" t="s">
        <v>1</v>
      </c>
      <c r="E5289" s="15">
        <f>9.725+10.66+1.52-0.142-1.638+5.505</f>
        <v>25.63</v>
      </c>
    </row>
    <row r="5290" spans="1:5" x14ac:dyDescent="0.3">
      <c r="A5290" s="10">
        <v>530</v>
      </c>
      <c r="B5290" s="10">
        <v>20</v>
      </c>
      <c r="C5290" s="10" t="s">
        <v>21</v>
      </c>
      <c r="D5290" s="10" t="s">
        <v>1</v>
      </c>
      <c r="E5290" s="15">
        <f>2.081-0.132</f>
        <v>1.9489999999999998</v>
      </c>
    </row>
    <row r="5291" spans="1:5" x14ac:dyDescent="0.3">
      <c r="A5291" s="10">
        <v>530</v>
      </c>
      <c r="B5291" s="10">
        <v>20</v>
      </c>
      <c r="C5291" s="10" t="s">
        <v>87</v>
      </c>
      <c r="D5291" s="10" t="s">
        <v>25</v>
      </c>
      <c r="E5291" s="15">
        <f>2.693-0.215-0.265-0.676-0.357-0.263-0.268</f>
        <v>0.64899999999999991</v>
      </c>
    </row>
    <row r="5292" spans="1:5" x14ac:dyDescent="0.3">
      <c r="A5292" s="10">
        <v>530</v>
      </c>
      <c r="B5292" s="10">
        <v>20</v>
      </c>
      <c r="C5292" s="10" t="s">
        <v>31</v>
      </c>
      <c r="D5292" s="10" t="s">
        <v>32</v>
      </c>
      <c r="E5292" s="15">
        <v>17.442</v>
      </c>
    </row>
    <row r="5293" spans="1:5" x14ac:dyDescent="0.3">
      <c r="A5293" s="10">
        <v>530</v>
      </c>
      <c r="B5293" s="10">
        <v>22</v>
      </c>
      <c r="C5293" s="10">
        <v>20</v>
      </c>
      <c r="D5293" s="10" t="s">
        <v>7</v>
      </c>
      <c r="E5293" s="15">
        <f>9.756+6.063-0.152</f>
        <v>15.667</v>
      </c>
    </row>
    <row r="5294" spans="1:5" x14ac:dyDescent="0.3">
      <c r="A5294" s="10">
        <v>530</v>
      </c>
      <c r="B5294" s="10">
        <v>22</v>
      </c>
      <c r="C5294" s="10">
        <v>20</v>
      </c>
      <c r="D5294" s="10" t="s">
        <v>1</v>
      </c>
      <c r="E5294" s="15">
        <f>3.983-0.782-0.631</f>
        <v>2.5700000000000003</v>
      </c>
    </row>
    <row r="5295" spans="1:5" x14ac:dyDescent="0.3">
      <c r="A5295" s="8">
        <v>530</v>
      </c>
      <c r="B5295" s="8">
        <v>24</v>
      </c>
      <c r="C5295" s="12" t="s">
        <v>48</v>
      </c>
      <c r="D5295" s="8" t="s">
        <v>22</v>
      </c>
      <c r="E5295" s="9">
        <f>10.565-0.137-1.283-0.258-7.093+0.01-1.26+0.134-0.14-0.197</f>
        <v>0.34100000000000047</v>
      </c>
    </row>
    <row r="5296" spans="1:5" x14ac:dyDescent="0.3">
      <c r="A5296" s="10">
        <v>530</v>
      </c>
      <c r="B5296" s="10">
        <v>25</v>
      </c>
      <c r="C5296" s="10">
        <v>20</v>
      </c>
      <c r="D5296" s="10" t="s">
        <v>1</v>
      </c>
      <c r="E5296" s="15">
        <f>2.751-0.106-0.748-0.119-0.151-0.649-0.034-0.16-0.301-0.298-0.03-0.138</f>
        <v>1.6999999999999932E-2</v>
      </c>
    </row>
    <row r="5297" spans="1:5" x14ac:dyDescent="0.3">
      <c r="A5297" s="8">
        <v>530</v>
      </c>
      <c r="B5297" s="8">
        <v>25</v>
      </c>
      <c r="C5297" s="8">
        <v>20</v>
      </c>
      <c r="D5297" s="8" t="s">
        <v>1</v>
      </c>
      <c r="E5297" s="9">
        <v>10</v>
      </c>
    </row>
    <row r="5298" spans="1:5" x14ac:dyDescent="0.3">
      <c r="A5298" s="10">
        <v>530</v>
      </c>
      <c r="B5298" s="10">
        <v>25</v>
      </c>
      <c r="C5298" s="10">
        <v>20</v>
      </c>
      <c r="D5298" s="10" t="s">
        <v>32</v>
      </c>
      <c r="E5298" s="15">
        <f>8.168+2.676</f>
        <v>10.843999999999999</v>
      </c>
    </row>
    <row r="5299" spans="1:5" x14ac:dyDescent="0.3">
      <c r="A5299" s="10">
        <v>530</v>
      </c>
      <c r="B5299" s="10">
        <v>25</v>
      </c>
      <c r="C5299" s="10" t="s">
        <v>26</v>
      </c>
      <c r="D5299" s="10" t="s">
        <v>25</v>
      </c>
      <c r="E5299" s="15">
        <f>30.561+12.107-0.07-0.329-0.537-0.174-1.273-0.907-0.332-0.313-1.036-20.039-0.986-4.229-1.033-0.885-2.02-0.998-0.648-0.294</f>
        <v>6.5649999999999959</v>
      </c>
    </row>
    <row r="5300" spans="1:5" x14ac:dyDescent="0.3">
      <c r="A5300" s="10">
        <v>530</v>
      </c>
      <c r="B5300" s="10">
        <v>25</v>
      </c>
      <c r="C5300" s="10" t="s">
        <v>26</v>
      </c>
      <c r="D5300" s="10" t="s">
        <v>1</v>
      </c>
      <c r="E5300" s="15">
        <f>8.105+16.895+2.005+11.82-0.744-2.054-0.399</f>
        <v>35.628</v>
      </c>
    </row>
    <row r="5301" spans="1:5" x14ac:dyDescent="0.3">
      <c r="A5301" s="8">
        <v>530</v>
      </c>
      <c r="B5301" s="8">
        <v>25</v>
      </c>
      <c r="C5301" s="8" t="s">
        <v>47</v>
      </c>
      <c r="D5301" s="8" t="s">
        <v>22</v>
      </c>
      <c r="E5301" s="9">
        <f>15.015-0.086-0.064-0.086-0.206-0.648-0.964-1.677-0.174-0.266-1.128</f>
        <v>9.7160000000000011</v>
      </c>
    </row>
    <row r="5302" spans="1:5" x14ac:dyDescent="0.3">
      <c r="A5302" s="8">
        <v>530</v>
      </c>
      <c r="B5302" s="8">
        <v>25</v>
      </c>
      <c r="C5302" s="8" t="s">
        <v>45</v>
      </c>
      <c r="D5302" s="8" t="s">
        <v>32</v>
      </c>
      <c r="E5302" s="9">
        <f>2.11+2.688+2.305+5.276-0.706-7.754</f>
        <v>3.9190000000000005</v>
      </c>
    </row>
    <row r="5303" spans="1:5" x14ac:dyDescent="0.3">
      <c r="A5303" s="8">
        <v>530</v>
      </c>
      <c r="B5303" s="8">
        <v>25</v>
      </c>
      <c r="C5303" s="8" t="s">
        <v>45</v>
      </c>
      <c r="D5303" s="8" t="s">
        <v>32</v>
      </c>
      <c r="E5303" s="9">
        <v>10</v>
      </c>
    </row>
    <row r="5304" spans="1:5" x14ac:dyDescent="0.3">
      <c r="A5304" s="8">
        <v>530</v>
      </c>
      <c r="B5304" s="8">
        <v>28</v>
      </c>
      <c r="C5304" s="8">
        <v>20</v>
      </c>
      <c r="D5304" s="8" t="s">
        <v>1</v>
      </c>
      <c r="E5304" s="9">
        <v>12.327999999999999</v>
      </c>
    </row>
    <row r="5305" spans="1:5" x14ac:dyDescent="0.3">
      <c r="A5305" s="10">
        <v>530</v>
      </c>
      <c r="B5305" s="10">
        <v>28</v>
      </c>
      <c r="C5305" s="10" t="s">
        <v>26</v>
      </c>
      <c r="D5305" s="10" t="s">
        <v>22</v>
      </c>
      <c r="E5305" s="15">
        <f>4.234+1.54-0.467-1.074-0.93+2.057-1.207-0.229-1.428-1.204-0.65+0.65</f>
        <v>1.2920000000000005</v>
      </c>
    </row>
    <row r="5306" spans="1:5" x14ac:dyDescent="0.3">
      <c r="A5306" s="10">
        <v>530</v>
      </c>
      <c r="B5306" s="10">
        <v>28</v>
      </c>
      <c r="C5306" s="10" t="s">
        <v>26</v>
      </c>
      <c r="D5306" s="10" t="s">
        <v>1</v>
      </c>
      <c r="E5306" s="15">
        <f>13.405-0.193</f>
        <v>13.212</v>
      </c>
    </row>
    <row r="5307" spans="1:5" x14ac:dyDescent="0.3">
      <c r="A5307" s="10">
        <v>530</v>
      </c>
      <c r="B5307" s="10">
        <v>28</v>
      </c>
      <c r="C5307" s="10" t="s">
        <v>26</v>
      </c>
      <c r="D5307" s="10" t="s">
        <v>64</v>
      </c>
      <c r="E5307" s="15">
        <f>9.44-3.024-3.246</f>
        <v>3.1699999999999995</v>
      </c>
    </row>
    <row r="5308" spans="1:5" x14ac:dyDescent="0.3">
      <c r="A5308" s="10">
        <v>530</v>
      </c>
      <c r="B5308" s="10">
        <v>28</v>
      </c>
      <c r="C5308" s="10" t="s">
        <v>48</v>
      </c>
      <c r="D5308" s="10" t="s">
        <v>22</v>
      </c>
      <c r="E5308" s="15">
        <f>8.177-0.085-0.193-0.397-0.558-2.796-0.484</f>
        <v>3.6639999999999997</v>
      </c>
    </row>
    <row r="5309" spans="1:5" x14ac:dyDescent="0.3">
      <c r="A5309" s="8">
        <v>530</v>
      </c>
      <c r="B5309" s="8">
        <v>28</v>
      </c>
      <c r="C5309" s="8" t="s">
        <v>47</v>
      </c>
      <c r="D5309" s="8" t="s">
        <v>22</v>
      </c>
      <c r="E5309" s="9">
        <f>16.601-2.715</f>
        <v>13.885999999999999</v>
      </c>
    </row>
    <row r="5310" spans="1:5" x14ac:dyDescent="0.3">
      <c r="A5310" s="10">
        <v>530</v>
      </c>
      <c r="B5310" s="10">
        <v>28</v>
      </c>
      <c r="C5310" s="10" t="s">
        <v>191</v>
      </c>
      <c r="D5310" s="10" t="s">
        <v>22</v>
      </c>
      <c r="E5310" s="15">
        <v>0.55100000000000005</v>
      </c>
    </row>
    <row r="5311" spans="1:5" x14ac:dyDescent="0.3">
      <c r="A5311" s="8">
        <v>530</v>
      </c>
      <c r="B5311" s="8">
        <v>28</v>
      </c>
      <c r="C5311" s="8" t="s">
        <v>43</v>
      </c>
      <c r="D5311" s="8" t="s">
        <v>32</v>
      </c>
      <c r="E5311" s="9">
        <f>5.09-2.485</f>
        <v>2.605</v>
      </c>
    </row>
    <row r="5312" spans="1:5" x14ac:dyDescent="0.3">
      <c r="A5312" s="10">
        <v>530</v>
      </c>
      <c r="B5312" s="10">
        <v>28</v>
      </c>
      <c r="C5312" s="10" t="s">
        <v>192</v>
      </c>
      <c r="D5312" s="10" t="s">
        <v>163</v>
      </c>
      <c r="E5312" s="15">
        <f>4.859-1.04</f>
        <v>3.819</v>
      </c>
    </row>
    <row r="5313" spans="1:5" x14ac:dyDescent="0.3">
      <c r="A5313" s="8">
        <v>530</v>
      </c>
      <c r="B5313" s="8">
        <v>28</v>
      </c>
      <c r="C5313" s="8" t="s">
        <v>35</v>
      </c>
      <c r="D5313" s="8" t="s">
        <v>32</v>
      </c>
      <c r="E5313" s="9">
        <v>10</v>
      </c>
    </row>
    <row r="5314" spans="1:5" x14ac:dyDescent="0.3">
      <c r="A5314" s="10">
        <v>530</v>
      </c>
      <c r="B5314" s="10">
        <v>28</v>
      </c>
      <c r="C5314" s="10" t="s">
        <v>31</v>
      </c>
      <c r="D5314" s="10" t="s">
        <v>32</v>
      </c>
      <c r="E5314" s="15">
        <f>2.261-0.531+2.239-0.454</f>
        <v>3.5149999999999997</v>
      </c>
    </row>
    <row r="5315" spans="1:5" x14ac:dyDescent="0.3">
      <c r="A5315" s="10">
        <v>530</v>
      </c>
      <c r="B5315" s="10">
        <v>30</v>
      </c>
      <c r="C5315" s="10">
        <v>20</v>
      </c>
      <c r="D5315" s="10" t="s">
        <v>1</v>
      </c>
      <c r="E5315" s="15">
        <f>12.376-0.187-0.52-3.285</f>
        <v>8.3840000000000003</v>
      </c>
    </row>
    <row r="5316" spans="1:5" x14ac:dyDescent="0.3">
      <c r="A5316" s="10">
        <v>530</v>
      </c>
      <c r="B5316" s="10">
        <v>30</v>
      </c>
      <c r="C5316" s="10" t="s">
        <v>26</v>
      </c>
      <c r="D5316" s="10" t="s">
        <v>1</v>
      </c>
      <c r="E5316" s="15">
        <f>21.925-2.891</f>
        <v>19.033999999999999</v>
      </c>
    </row>
    <row r="5317" spans="1:5" x14ac:dyDescent="0.3">
      <c r="A5317" s="8">
        <v>530</v>
      </c>
      <c r="B5317" s="8">
        <v>30</v>
      </c>
      <c r="C5317" s="8" t="s">
        <v>26</v>
      </c>
      <c r="D5317" s="8" t="s">
        <v>64</v>
      </c>
      <c r="E5317" s="9">
        <f>4.982+2.968-2.459-1.165-0.346</f>
        <v>3.9799999999999995</v>
      </c>
    </row>
    <row r="5318" spans="1:5" x14ac:dyDescent="0.3">
      <c r="A5318" s="10">
        <v>530</v>
      </c>
      <c r="B5318" s="10">
        <v>30</v>
      </c>
      <c r="C5318" s="10">
        <v>45</v>
      </c>
      <c r="D5318" s="10" t="s">
        <v>1</v>
      </c>
      <c r="E5318" s="15">
        <f>5.692-0.131-0.28-0.146-0.123</f>
        <v>5.0119999999999996</v>
      </c>
    </row>
    <row r="5319" spans="1:5" x14ac:dyDescent="0.3">
      <c r="A5319" s="10">
        <v>530</v>
      </c>
      <c r="B5319" s="10">
        <v>30</v>
      </c>
      <c r="C5319" s="10" t="s">
        <v>45</v>
      </c>
      <c r="D5319" s="10" t="s">
        <v>32</v>
      </c>
      <c r="E5319" s="15">
        <f>3.424-0.46</f>
        <v>2.964</v>
      </c>
    </row>
    <row r="5320" spans="1:5" x14ac:dyDescent="0.3">
      <c r="A5320" s="10">
        <v>530</v>
      </c>
      <c r="B5320" s="10">
        <v>32</v>
      </c>
      <c r="C5320" s="10">
        <v>20</v>
      </c>
      <c r="D5320" s="10" t="s">
        <v>1</v>
      </c>
      <c r="E5320" s="15">
        <f>12.41-1.793-0.65-0.535-0.408-0.278-0.479</f>
        <v>8.2670000000000012</v>
      </c>
    </row>
    <row r="5321" spans="1:5" x14ac:dyDescent="0.3">
      <c r="A5321" s="10">
        <v>530</v>
      </c>
      <c r="B5321" s="10">
        <v>32</v>
      </c>
      <c r="C5321" s="10" t="s">
        <v>26</v>
      </c>
      <c r="D5321" s="10" t="s">
        <v>22</v>
      </c>
      <c r="E5321" s="15">
        <v>1.3</v>
      </c>
    </row>
    <row r="5322" spans="1:5" x14ac:dyDescent="0.3">
      <c r="A5322" s="10">
        <v>530</v>
      </c>
      <c r="B5322" s="10">
        <v>32</v>
      </c>
      <c r="C5322" s="10" t="s">
        <v>26</v>
      </c>
      <c r="D5322" s="10" t="s">
        <v>1</v>
      </c>
      <c r="E5322" s="15">
        <f>40.515-1.311-0.723</f>
        <v>38.481000000000002</v>
      </c>
    </row>
    <row r="5323" spans="1:5" x14ac:dyDescent="0.3">
      <c r="A5323" s="8">
        <v>530</v>
      </c>
      <c r="B5323" s="8">
        <v>36</v>
      </c>
      <c r="C5323" s="8">
        <v>20</v>
      </c>
      <c r="D5323" s="8" t="s">
        <v>1</v>
      </c>
      <c r="E5323" s="9">
        <f>5.351+1.122-0.155-0.967-2.68-0.251-0.105-0.794-0.803+6.586-0.251</f>
        <v>7.0529999999999999</v>
      </c>
    </row>
    <row r="5324" spans="1:5" x14ac:dyDescent="0.3">
      <c r="A5324" s="8">
        <v>530</v>
      </c>
      <c r="B5324" s="8">
        <v>36</v>
      </c>
      <c r="C5324" s="8">
        <v>20</v>
      </c>
      <c r="D5324" s="10" t="s">
        <v>32</v>
      </c>
      <c r="E5324" s="9">
        <v>3.085</v>
      </c>
    </row>
    <row r="5325" spans="1:5" x14ac:dyDescent="0.3">
      <c r="A5325" s="10">
        <v>530</v>
      </c>
      <c r="B5325" s="10">
        <v>36</v>
      </c>
      <c r="C5325" s="10" t="s">
        <v>26</v>
      </c>
      <c r="D5325" s="10" t="s">
        <v>1</v>
      </c>
      <c r="E5325" s="15">
        <f>9.97+10.13-3.256</f>
        <v>16.844000000000001</v>
      </c>
    </row>
    <row r="5326" spans="1:5" x14ac:dyDescent="0.3">
      <c r="A5326" s="8">
        <v>530</v>
      </c>
      <c r="B5326" s="8">
        <v>36</v>
      </c>
      <c r="C5326" s="8" t="s">
        <v>26</v>
      </c>
      <c r="D5326" s="8" t="s">
        <v>1</v>
      </c>
      <c r="E5326" s="9">
        <v>6.5830000000000002</v>
      </c>
    </row>
    <row r="5327" spans="1:5" x14ac:dyDescent="0.3">
      <c r="A5327" s="10">
        <v>530</v>
      </c>
      <c r="B5327" s="10">
        <v>36</v>
      </c>
      <c r="C5327" s="10" t="s">
        <v>26</v>
      </c>
      <c r="D5327" s="10" t="s">
        <v>2</v>
      </c>
      <c r="E5327" s="15">
        <f>15.282+5.682+2.808-9.257-1.164-1.592</f>
        <v>11.758999999999999</v>
      </c>
    </row>
    <row r="5328" spans="1:5" x14ac:dyDescent="0.3">
      <c r="A5328" s="10">
        <v>530</v>
      </c>
      <c r="B5328" s="10">
        <v>36</v>
      </c>
      <c r="C5328" s="10" t="s">
        <v>45</v>
      </c>
      <c r="D5328" s="10" t="s">
        <v>32</v>
      </c>
      <c r="E5328" s="15">
        <f>2.264+4.23</f>
        <v>6.4939999999999998</v>
      </c>
    </row>
    <row r="5329" spans="1:5" x14ac:dyDescent="0.3">
      <c r="A5329" s="8">
        <v>530</v>
      </c>
      <c r="B5329" s="8">
        <v>36</v>
      </c>
      <c r="C5329" s="8" t="s">
        <v>45</v>
      </c>
      <c r="D5329" s="10" t="s">
        <v>32</v>
      </c>
      <c r="E5329" s="9">
        <f>6.761-4.23</f>
        <v>2.5309999999999997</v>
      </c>
    </row>
    <row r="5330" spans="1:5" x14ac:dyDescent="0.3">
      <c r="A5330" s="10">
        <v>530</v>
      </c>
      <c r="B5330" s="10">
        <v>40</v>
      </c>
      <c r="C5330" s="10">
        <v>20</v>
      </c>
      <c r="D5330" s="10" t="s">
        <v>1</v>
      </c>
      <c r="E5330" s="15">
        <f>3.862-0.203</f>
        <v>3.6590000000000003</v>
      </c>
    </row>
    <row r="5331" spans="1:5" x14ac:dyDescent="0.3">
      <c r="A5331" s="10">
        <v>530</v>
      </c>
      <c r="B5331" s="10">
        <v>40</v>
      </c>
      <c r="C5331" s="10" t="s">
        <v>26</v>
      </c>
      <c r="D5331" s="10" t="s">
        <v>1</v>
      </c>
      <c r="E5331" s="15">
        <f>3.36+3.389+3.413+3.394-0.995-3.413-0.221-0.65-1.499-0.27-0.51-0.221-0.515-0.999+3.535+6.88-0.243-3.451-1.007-0.655</f>
        <v>9.322000000000001</v>
      </c>
    </row>
    <row r="5332" spans="1:5" x14ac:dyDescent="0.3">
      <c r="A5332" s="8">
        <v>530</v>
      </c>
      <c r="B5332" s="8">
        <v>40</v>
      </c>
      <c r="C5332" s="8" t="s">
        <v>45</v>
      </c>
      <c r="D5332" s="8" t="s">
        <v>32</v>
      </c>
      <c r="E5332" s="9">
        <v>5</v>
      </c>
    </row>
    <row r="5333" spans="1:5" x14ac:dyDescent="0.3">
      <c r="A5333" s="8">
        <v>530</v>
      </c>
      <c r="B5333" s="8">
        <v>45</v>
      </c>
      <c r="C5333" s="8">
        <v>20</v>
      </c>
      <c r="D5333" s="8" t="s">
        <v>1</v>
      </c>
      <c r="E5333" s="9">
        <f>7.538+1.605-0.303-0.292-1.028-0.566-1.923</f>
        <v>5.0309999999999997</v>
      </c>
    </row>
    <row r="5334" spans="1:5" x14ac:dyDescent="0.3">
      <c r="A5334" s="8">
        <v>530</v>
      </c>
      <c r="B5334" s="8">
        <v>45</v>
      </c>
      <c r="C5334" s="8">
        <v>20</v>
      </c>
      <c r="D5334" s="8" t="s">
        <v>1</v>
      </c>
      <c r="E5334" s="9">
        <v>3.4180000000000001</v>
      </c>
    </row>
    <row r="5335" spans="1:5" x14ac:dyDescent="0.3">
      <c r="A5335" s="8">
        <v>530</v>
      </c>
      <c r="B5335" s="8">
        <v>45</v>
      </c>
      <c r="C5335" s="8" t="s">
        <v>26</v>
      </c>
      <c r="D5335" s="8" t="s">
        <v>1</v>
      </c>
      <c r="E5335" s="9">
        <v>9.67</v>
      </c>
    </row>
    <row r="5336" spans="1:5" x14ac:dyDescent="0.3">
      <c r="A5336" s="10">
        <v>530</v>
      </c>
      <c r="B5336" s="10">
        <v>50</v>
      </c>
      <c r="C5336" s="10">
        <v>20</v>
      </c>
      <c r="D5336" s="10" t="s">
        <v>1</v>
      </c>
      <c r="E5336" s="15">
        <v>10.034000000000001</v>
      </c>
    </row>
    <row r="5337" spans="1:5" x14ac:dyDescent="0.3">
      <c r="A5337" s="8">
        <v>530</v>
      </c>
      <c r="B5337" s="8">
        <v>50</v>
      </c>
      <c r="C5337" s="8" t="s">
        <v>26</v>
      </c>
      <c r="D5337" s="8" t="s">
        <v>64</v>
      </c>
      <c r="E5337" s="9">
        <f>7.804-0.617+2.876-1.897-1.921</f>
        <v>6.2450000000000001</v>
      </c>
    </row>
    <row r="5338" spans="1:5" x14ac:dyDescent="0.3">
      <c r="A5338" s="10">
        <v>530</v>
      </c>
      <c r="B5338" s="10">
        <v>60</v>
      </c>
      <c r="C5338" s="10">
        <v>20</v>
      </c>
      <c r="D5338" s="10" t="s">
        <v>1</v>
      </c>
      <c r="E5338" s="15">
        <f>9.639+0.773-0.516-0.46</f>
        <v>9.4359999999999982</v>
      </c>
    </row>
    <row r="5339" spans="1:5" x14ac:dyDescent="0.3">
      <c r="A5339" s="10">
        <v>530</v>
      </c>
      <c r="B5339" s="10">
        <v>60</v>
      </c>
      <c r="C5339" s="10" t="s">
        <v>26</v>
      </c>
      <c r="D5339" s="10" t="s">
        <v>1</v>
      </c>
      <c r="E5339" s="15">
        <f>5.763+2.269-0.578-2.861-1.692+12.08-0.143</f>
        <v>14.837999999999999</v>
      </c>
    </row>
    <row r="5340" spans="1:5" x14ac:dyDescent="0.3">
      <c r="A5340" s="10">
        <v>530</v>
      </c>
      <c r="B5340" s="10">
        <v>65</v>
      </c>
      <c r="C5340" s="10">
        <v>45</v>
      </c>
      <c r="D5340" s="10" t="s">
        <v>1</v>
      </c>
      <c r="E5340" s="15">
        <v>6.4279999999999999</v>
      </c>
    </row>
    <row r="5341" spans="1:5" x14ac:dyDescent="0.3">
      <c r="A5341" s="8">
        <v>530</v>
      </c>
      <c r="B5341" s="8">
        <v>65</v>
      </c>
      <c r="C5341" s="8" t="s">
        <v>35</v>
      </c>
      <c r="D5341" s="8" t="s">
        <v>32</v>
      </c>
      <c r="E5341" s="9">
        <v>8</v>
      </c>
    </row>
    <row r="5342" spans="1:5" x14ac:dyDescent="0.3">
      <c r="A5342" s="10">
        <v>530</v>
      </c>
      <c r="B5342" s="10">
        <v>70</v>
      </c>
      <c r="C5342" s="10">
        <v>20</v>
      </c>
      <c r="D5342" s="10" t="s">
        <v>1</v>
      </c>
      <c r="E5342" s="15">
        <f>3.463+3.239-0.915-3.464-0.346-0.572</f>
        <v>1.4049999999999998</v>
      </c>
    </row>
    <row r="5343" spans="1:5" x14ac:dyDescent="0.3">
      <c r="A5343" s="10">
        <v>530</v>
      </c>
      <c r="B5343" s="10">
        <v>70</v>
      </c>
      <c r="C5343" s="10">
        <v>20</v>
      </c>
      <c r="D5343" s="10" t="s">
        <v>1</v>
      </c>
      <c r="E5343" s="15">
        <v>6.25</v>
      </c>
    </row>
    <row r="5344" spans="1:5" x14ac:dyDescent="0.3">
      <c r="A5344" s="10">
        <v>530</v>
      </c>
      <c r="B5344" s="10">
        <v>70</v>
      </c>
      <c r="C5344" s="10" t="s">
        <v>26</v>
      </c>
      <c r="D5344" s="10" t="s">
        <v>1</v>
      </c>
      <c r="E5344" s="15">
        <f>6.1+3.134+3.215-7.618-0.185-0.523-0.965-1.182-0.25-0.403-0.523</f>
        <v>0.80000000000000038</v>
      </c>
    </row>
    <row r="5345" spans="1:5" x14ac:dyDescent="0.3">
      <c r="A5345" s="10">
        <v>530</v>
      </c>
      <c r="B5345" s="10">
        <v>70</v>
      </c>
      <c r="C5345" s="10" t="s">
        <v>26</v>
      </c>
      <c r="D5345" s="10" t="s">
        <v>1</v>
      </c>
      <c r="E5345" s="15">
        <v>11.175000000000001</v>
      </c>
    </row>
    <row r="5346" spans="1:5" x14ac:dyDescent="0.3">
      <c r="A5346" s="10">
        <v>530</v>
      </c>
      <c r="B5346" s="10">
        <v>70</v>
      </c>
      <c r="C5346" s="10" t="s">
        <v>26</v>
      </c>
      <c r="D5346" s="10" t="s">
        <v>2</v>
      </c>
      <c r="E5346" s="15">
        <f>5.038+3.764+7.417+7.52+20.794+3.82-3.733-3.756-1.226</f>
        <v>39.638000000000005</v>
      </c>
    </row>
    <row r="5347" spans="1:5" x14ac:dyDescent="0.3">
      <c r="A5347" s="10">
        <v>530</v>
      </c>
      <c r="B5347" s="10">
        <v>70</v>
      </c>
      <c r="C5347" s="10" t="s">
        <v>26</v>
      </c>
      <c r="D5347" s="10" t="s">
        <v>2</v>
      </c>
      <c r="E5347" s="15">
        <v>1.823</v>
      </c>
    </row>
    <row r="5348" spans="1:5" x14ac:dyDescent="0.3">
      <c r="A5348" s="10">
        <v>530</v>
      </c>
      <c r="B5348" s="10">
        <v>70</v>
      </c>
      <c r="C5348" s="10" t="s">
        <v>28</v>
      </c>
      <c r="D5348" s="10" t="s">
        <v>1</v>
      </c>
      <c r="E5348" s="15">
        <f>3.02+2.91-3.02-0.594-0.754-0.882-0.249-0.161+11.422</f>
        <v>11.692</v>
      </c>
    </row>
    <row r="5349" spans="1:5" x14ac:dyDescent="0.3">
      <c r="A5349" s="10">
        <v>530</v>
      </c>
      <c r="B5349" s="10">
        <v>75</v>
      </c>
      <c r="C5349" s="10">
        <v>35</v>
      </c>
      <c r="D5349" s="10" t="s">
        <v>1</v>
      </c>
      <c r="E5349" s="15">
        <f>16.43-0.436-3.292-0.349-1.655</f>
        <v>10.698</v>
      </c>
    </row>
    <row r="5350" spans="1:5" x14ac:dyDescent="0.3">
      <c r="A5350" s="8">
        <v>530</v>
      </c>
      <c r="B5350" s="8">
        <v>80</v>
      </c>
      <c r="C5350" s="8">
        <v>20</v>
      </c>
      <c r="D5350" s="8" t="s">
        <v>1</v>
      </c>
      <c r="E5350" s="9">
        <f>3.215-0.781+21.75+21.765-14.093-0.261</f>
        <v>31.594999999999999</v>
      </c>
    </row>
    <row r="5351" spans="1:5" x14ac:dyDescent="0.3">
      <c r="A5351" s="10">
        <v>530</v>
      </c>
      <c r="B5351" s="10">
        <v>80</v>
      </c>
      <c r="C5351" s="10" t="s">
        <v>26</v>
      </c>
      <c r="D5351" s="10" t="s">
        <v>1</v>
      </c>
      <c r="E5351" s="15">
        <f>6.7+6.74</f>
        <v>13.440000000000001</v>
      </c>
    </row>
    <row r="5352" spans="1:5" x14ac:dyDescent="0.3">
      <c r="A5352" s="10">
        <v>530</v>
      </c>
      <c r="B5352" s="10">
        <v>90</v>
      </c>
      <c r="C5352" s="10">
        <v>20</v>
      </c>
      <c r="D5352" s="10" t="s">
        <v>1</v>
      </c>
      <c r="E5352" s="15">
        <v>6.258</v>
      </c>
    </row>
    <row r="5353" spans="1:5" x14ac:dyDescent="0.3">
      <c r="A5353" s="10">
        <v>535</v>
      </c>
      <c r="B5353" s="10">
        <v>50</v>
      </c>
      <c r="C5353" s="10" t="s">
        <v>28</v>
      </c>
      <c r="D5353" s="10" t="s">
        <v>1</v>
      </c>
      <c r="E5353" s="15">
        <v>4.9580000000000002</v>
      </c>
    </row>
    <row r="5354" spans="1:5" x14ac:dyDescent="0.3">
      <c r="A5354" s="10">
        <v>550</v>
      </c>
      <c r="B5354" s="10">
        <v>20</v>
      </c>
      <c r="C5354" s="10" t="s">
        <v>26</v>
      </c>
      <c r="D5354" s="10" t="s">
        <v>1</v>
      </c>
      <c r="E5354" s="15">
        <f>8.155-0.72-2.05-0.053</f>
        <v>5.3319999999999999</v>
      </c>
    </row>
    <row r="5355" spans="1:5" x14ac:dyDescent="0.3">
      <c r="A5355" s="10">
        <v>550</v>
      </c>
      <c r="B5355" s="10">
        <v>25</v>
      </c>
      <c r="C5355" s="10" t="s">
        <v>26</v>
      </c>
      <c r="D5355" s="10" t="s">
        <v>1</v>
      </c>
      <c r="E5355" s="15">
        <f>6.8+3.585+2.706</f>
        <v>13.090999999999999</v>
      </c>
    </row>
    <row r="5356" spans="1:5" x14ac:dyDescent="0.3">
      <c r="A5356" s="10">
        <v>550</v>
      </c>
      <c r="B5356" s="10">
        <v>25</v>
      </c>
      <c r="C5356" s="10" t="s">
        <v>26</v>
      </c>
      <c r="D5356" s="10" t="s">
        <v>1</v>
      </c>
      <c r="E5356" s="15">
        <v>2.4</v>
      </c>
    </row>
    <row r="5357" spans="1:5" x14ac:dyDescent="0.3">
      <c r="A5357" s="8">
        <v>550</v>
      </c>
      <c r="B5357" s="8">
        <v>32</v>
      </c>
      <c r="C5357" s="8">
        <v>35</v>
      </c>
      <c r="D5357" s="8" t="s">
        <v>1</v>
      </c>
      <c r="E5357" s="9">
        <v>10</v>
      </c>
    </row>
    <row r="5358" spans="1:5" x14ac:dyDescent="0.3">
      <c r="A5358" s="8">
        <v>550</v>
      </c>
      <c r="B5358" s="8">
        <v>36</v>
      </c>
      <c r="C5358" s="8">
        <v>20</v>
      </c>
      <c r="D5358" s="8" t="s">
        <v>1</v>
      </c>
      <c r="E5358" s="9">
        <v>6</v>
      </c>
    </row>
    <row r="5359" spans="1:5" x14ac:dyDescent="0.3">
      <c r="A5359" s="10">
        <v>550</v>
      </c>
      <c r="B5359" s="10">
        <v>36</v>
      </c>
      <c r="C5359" s="10" t="s">
        <v>26</v>
      </c>
      <c r="D5359" s="10" t="s">
        <v>1</v>
      </c>
      <c r="E5359" s="15">
        <f>6.02-1.43-0.26</f>
        <v>4.33</v>
      </c>
    </row>
    <row r="5360" spans="1:5" x14ac:dyDescent="0.3">
      <c r="A5360" s="8">
        <v>550</v>
      </c>
      <c r="B5360" s="8">
        <v>40</v>
      </c>
      <c r="C5360" s="8">
        <v>20</v>
      </c>
      <c r="D5360" s="8" t="s">
        <v>1</v>
      </c>
      <c r="E5360" s="9">
        <f>4.627+6.07-1.904-2.723-0.185+3.107-0.37-1.208-3.092</f>
        <v>4.322000000000001</v>
      </c>
    </row>
    <row r="5361" spans="1:5" x14ac:dyDescent="0.3">
      <c r="A5361" s="8">
        <v>550</v>
      </c>
      <c r="B5361" s="8">
        <v>40</v>
      </c>
      <c r="C5361" s="8" t="s">
        <v>26</v>
      </c>
      <c r="D5361" s="10" t="s">
        <v>20</v>
      </c>
      <c r="E5361" s="9">
        <v>2.4430000000000001</v>
      </c>
    </row>
    <row r="5362" spans="1:5" x14ac:dyDescent="0.3">
      <c r="A5362" s="8">
        <v>550</v>
      </c>
      <c r="B5362" s="8">
        <v>40</v>
      </c>
      <c r="C5362" s="8" t="s">
        <v>26</v>
      </c>
      <c r="D5362" s="8" t="s">
        <v>20</v>
      </c>
      <c r="E5362" s="9">
        <f>6.957-0.361-0.592-1.282-2.443</f>
        <v>2.2790000000000004</v>
      </c>
    </row>
    <row r="5363" spans="1:5" x14ac:dyDescent="0.3">
      <c r="A5363" s="10">
        <v>550</v>
      </c>
      <c r="B5363" s="10">
        <v>40</v>
      </c>
      <c r="C5363" s="10">
        <v>45</v>
      </c>
      <c r="D5363" s="13" t="s">
        <v>20</v>
      </c>
      <c r="E5363" s="15">
        <v>2.1459999999999999</v>
      </c>
    </row>
    <row r="5364" spans="1:5" x14ac:dyDescent="0.3">
      <c r="A5364" s="10">
        <v>550</v>
      </c>
      <c r="B5364" s="10">
        <v>45</v>
      </c>
      <c r="C5364" s="10" t="s">
        <v>28</v>
      </c>
      <c r="D5364" s="10" t="s">
        <v>1</v>
      </c>
      <c r="E5364" s="15">
        <f>12.135+8.691-1.045-1.051-0.315-3.256</f>
        <v>15.158999999999999</v>
      </c>
    </row>
    <row r="5365" spans="1:5" x14ac:dyDescent="0.3">
      <c r="A5365" s="10">
        <v>550</v>
      </c>
      <c r="B5365" s="10">
        <v>45</v>
      </c>
      <c r="C5365" s="10" t="s">
        <v>193</v>
      </c>
      <c r="D5365" s="10" t="s">
        <v>1</v>
      </c>
      <c r="E5365" s="15">
        <v>5.2</v>
      </c>
    </row>
    <row r="5366" spans="1:5" x14ac:dyDescent="0.3">
      <c r="A5366" s="8">
        <v>550</v>
      </c>
      <c r="B5366" s="8">
        <v>50</v>
      </c>
      <c r="C5366" s="8">
        <v>20</v>
      </c>
      <c r="D5366" s="8" t="s">
        <v>20</v>
      </c>
      <c r="E5366" s="9">
        <f>10.501+2.507-2.71-1.321-1.16-2.832-2.499-1.578+2.7-0.681-0.229</f>
        <v>2.6979999999999986</v>
      </c>
    </row>
    <row r="5367" spans="1:5" x14ac:dyDescent="0.3">
      <c r="A5367" s="8">
        <v>550</v>
      </c>
      <c r="B5367" s="8">
        <v>50</v>
      </c>
      <c r="C5367" s="8">
        <v>20</v>
      </c>
      <c r="D5367" s="8" t="s">
        <v>44</v>
      </c>
      <c r="E5367" s="9">
        <f>9.78-5.105-2.665-0.74+0.042+0.526-0.526</f>
        <v>1.3119999999999989</v>
      </c>
    </row>
    <row r="5368" spans="1:5" x14ac:dyDescent="0.3">
      <c r="A5368" s="8">
        <v>550</v>
      </c>
      <c r="B5368" s="8">
        <v>50</v>
      </c>
      <c r="C5368" s="8" t="s">
        <v>26</v>
      </c>
      <c r="D5368" s="8" t="s">
        <v>20</v>
      </c>
      <c r="E5368" s="9">
        <f>1.95+6.907+5.925-0.161-1.803-0.389</f>
        <v>12.429000000000002</v>
      </c>
    </row>
    <row r="5369" spans="1:5" x14ac:dyDescent="0.3">
      <c r="A5369" s="10">
        <v>550</v>
      </c>
      <c r="B5369" s="10">
        <v>60</v>
      </c>
      <c r="C5369" s="10">
        <v>20</v>
      </c>
      <c r="D5369" s="10" t="s">
        <v>1</v>
      </c>
      <c r="E5369" s="15">
        <f>5.6-0.317-1.012-1.774-1.782</f>
        <v>0.71499999999999897</v>
      </c>
    </row>
    <row r="5370" spans="1:5" x14ac:dyDescent="0.3">
      <c r="A5370" s="10">
        <v>550</v>
      </c>
      <c r="B5370" s="10">
        <v>60</v>
      </c>
      <c r="C5370" s="10" t="s">
        <v>26</v>
      </c>
      <c r="D5370" s="10" t="s">
        <v>1</v>
      </c>
      <c r="E5370" s="15">
        <v>6.35</v>
      </c>
    </row>
    <row r="5371" spans="1:5" x14ac:dyDescent="0.3">
      <c r="A5371" s="10">
        <v>550</v>
      </c>
      <c r="B5371" s="10">
        <v>70</v>
      </c>
      <c r="C5371" s="10">
        <v>20</v>
      </c>
      <c r="D5371" s="10" t="s">
        <v>1</v>
      </c>
      <c r="E5371" s="15">
        <f>15.96-0.3-0.335</f>
        <v>15.324999999999999</v>
      </c>
    </row>
    <row r="5372" spans="1:5" x14ac:dyDescent="0.3">
      <c r="A5372" s="10">
        <v>550</v>
      </c>
      <c r="B5372" s="10">
        <v>70</v>
      </c>
      <c r="C5372" s="10" t="s">
        <v>26</v>
      </c>
      <c r="D5372" s="10" t="s">
        <v>64</v>
      </c>
      <c r="E5372" s="15">
        <f>3.02+2.735-1.146</f>
        <v>4.609</v>
      </c>
    </row>
    <row r="5373" spans="1:5" x14ac:dyDescent="0.3">
      <c r="A5373" s="10">
        <v>550</v>
      </c>
      <c r="B5373" s="10">
        <v>80</v>
      </c>
      <c r="C5373" s="10" t="s">
        <v>26</v>
      </c>
      <c r="D5373" s="10" t="s">
        <v>1</v>
      </c>
      <c r="E5373" s="15">
        <v>6.4</v>
      </c>
    </row>
    <row r="5374" spans="1:5" x14ac:dyDescent="0.3">
      <c r="A5374" s="10">
        <v>559.79999999999995</v>
      </c>
      <c r="B5374" s="10">
        <v>9.5299999999999994</v>
      </c>
      <c r="C5374" s="10" t="s">
        <v>139</v>
      </c>
      <c r="D5374" s="10" t="s">
        <v>114</v>
      </c>
      <c r="E5374" s="15">
        <v>2.88</v>
      </c>
    </row>
    <row r="5375" spans="1:5" x14ac:dyDescent="0.3">
      <c r="A5375" s="8">
        <v>572</v>
      </c>
      <c r="B5375" s="8">
        <v>25</v>
      </c>
      <c r="C5375" s="8">
        <v>20</v>
      </c>
      <c r="D5375" s="8" t="s">
        <v>1</v>
      </c>
      <c r="E5375" s="9">
        <v>18.875</v>
      </c>
    </row>
    <row r="5376" spans="1:5" x14ac:dyDescent="0.3">
      <c r="A5376" s="10">
        <v>575</v>
      </c>
      <c r="B5376" s="10">
        <v>25</v>
      </c>
      <c r="C5376" s="10" t="s">
        <v>26</v>
      </c>
      <c r="D5376" s="10" t="s">
        <v>1</v>
      </c>
      <c r="E5376" s="15">
        <f>11.54+2.38-0.538-0.177-0.535</f>
        <v>12.669999999999998</v>
      </c>
    </row>
    <row r="5377" spans="1:5" x14ac:dyDescent="0.3">
      <c r="A5377" s="10">
        <v>575</v>
      </c>
      <c r="B5377" s="10">
        <v>32</v>
      </c>
      <c r="C5377" s="10" t="s">
        <v>26</v>
      </c>
      <c r="D5377" s="10" t="s">
        <v>1</v>
      </c>
      <c r="E5377" s="15">
        <f>12.905-3.037</f>
        <v>9.8679999999999986</v>
      </c>
    </row>
    <row r="5378" spans="1:5" x14ac:dyDescent="0.3">
      <c r="A5378" s="10">
        <v>575</v>
      </c>
      <c r="B5378" s="10">
        <v>40</v>
      </c>
      <c r="C5378" s="10">
        <v>20</v>
      </c>
      <c r="D5378" s="10" t="s">
        <v>1</v>
      </c>
      <c r="E5378" s="15">
        <f>9.742-1.191+0.25-2.258-1.192-0.951-3.278-0.876-0.081</f>
        <v>0.16500000000000031</v>
      </c>
    </row>
    <row r="5379" spans="1:5" x14ac:dyDescent="0.3">
      <c r="A5379" s="8">
        <v>575</v>
      </c>
      <c r="B5379" s="8">
        <v>40</v>
      </c>
      <c r="C5379" s="8">
        <v>20</v>
      </c>
      <c r="D5379" s="8" t="s">
        <v>1</v>
      </c>
      <c r="E5379" s="9">
        <v>15</v>
      </c>
    </row>
    <row r="5380" spans="1:5" x14ac:dyDescent="0.3">
      <c r="A5380" s="10">
        <v>575</v>
      </c>
      <c r="B5380" s="10">
        <v>40</v>
      </c>
      <c r="C5380" s="10" t="s">
        <v>26</v>
      </c>
      <c r="D5380" s="10" t="s">
        <v>1</v>
      </c>
      <c r="E5380" s="15">
        <v>11.244999999999999</v>
      </c>
    </row>
    <row r="5381" spans="1:5" x14ac:dyDescent="0.3">
      <c r="A5381" s="10">
        <v>575</v>
      </c>
      <c r="B5381" s="10">
        <v>50</v>
      </c>
      <c r="C5381" s="10" t="s">
        <v>26</v>
      </c>
      <c r="D5381" s="10" t="s">
        <v>1</v>
      </c>
      <c r="E5381" s="15">
        <f>9.31+4.39</f>
        <v>13.7</v>
      </c>
    </row>
    <row r="5382" spans="1:5" x14ac:dyDescent="0.3">
      <c r="A5382" s="10">
        <v>575</v>
      </c>
      <c r="B5382" s="10">
        <v>65</v>
      </c>
      <c r="C5382" s="10" t="s">
        <v>26</v>
      </c>
      <c r="D5382" s="10" t="s">
        <v>1</v>
      </c>
      <c r="E5382" s="15">
        <f>5.549+5.91-1.691-0.756-0.37-0.821-0.378-0.821</f>
        <v>6.6219999999999999</v>
      </c>
    </row>
    <row r="5383" spans="1:5" x14ac:dyDescent="0.3">
      <c r="A5383" s="10">
        <v>580</v>
      </c>
      <c r="B5383" s="10">
        <v>42</v>
      </c>
      <c r="C5383" s="10">
        <v>20</v>
      </c>
      <c r="D5383" s="10" t="s">
        <v>1</v>
      </c>
      <c r="E5383" s="15">
        <f>18.935-0.917-0.946</f>
        <v>17.071999999999996</v>
      </c>
    </row>
    <row r="5384" spans="1:5" x14ac:dyDescent="0.3">
      <c r="A5384" s="10">
        <v>580</v>
      </c>
      <c r="B5384" s="10">
        <v>65</v>
      </c>
      <c r="C5384" s="10" t="s">
        <v>26</v>
      </c>
      <c r="D5384" s="10" t="s">
        <v>1</v>
      </c>
      <c r="E5384" s="15">
        <f>11.054+5.575-0.419-0.427-5.533-0.168</f>
        <v>10.082000000000001</v>
      </c>
    </row>
    <row r="5385" spans="1:5" x14ac:dyDescent="0.3">
      <c r="A5385" s="10">
        <v>585</v>
      </c>
      <c r="B5385" s="10">
        <v>50</v>
      </c>
      <c r="C5385" s="10" t="s">
        <v>28</v>
      </c>
      <c r="D5385" s="10" t="s">
        <v>1</v>
      </c>
      <c r="E5385" s="15">
        <f>6.4-0.369</f>
        <v>6.0310000000000006</v>
      </c>
    </row>
    <row r="5386" spans="1:5" x14ac:dyDescent="0.3">
      <c r="A5386" s="10">
        <v>600</v>
      </c>
      <c r="B5386" s="10">
        <v>150</v>
      </c>
      <c r="C5386" s="10" t="s">
        <v>106</v>
      </c>
      <c r="D5386" s="10" t="s">
        <v>1</v>
      </c>
      <c r="E5386" s="15">
        <v>14.95</v>
      </c>
    </row>
    <row r="5387" spans="1:5" x14ac:dyDescent="0.3">
      <c r="A5387" s="10">
        <v>600</v>
      </c>
      <c r="B5387" s="10">
        <v>200</v>
      </c>
      <c r="C5387" s="10" t="s">
        <v>106</v>
      </c>
      <c r="D5387" s="10" t="s">
        <v>1</v>
      </c>
      <c r="E5387" s="15">
        <v>4.5</v>
      </c>
    </row>
    <row r="5388" spans="1:5" x14ac:dyDescent="0.3">
      <c r="A5388" s="10">
        <v>609.9</v>
      </c>
      <c r="B5388" s="10">
        <v>9.5299999999999994</v>
      </c>
      <c r="C5388" s="10" t="s">
        <v>139</v>
      </c>
      <c r="D5388" s="10" t="s">
        <v>114</v>
      </c>
      <c r="E5388" s="15">
        <v>4.8250000000000002</v>
      </c>
    </row>
    <row r="5389" spans="1:5" x14ac:dyDescent="0.3">
      <c r="A5389" s="10">
        <v>610</v>
      </c>
      <c r="B5389" s="10">
        <v>10</v>
      </c>
      <c r="C5389" s="10" t="s">
        <v>26</v>
      </c>
      <c r="D5389" s="10" t="s">
        <v>1</v>
      </c>
      <c r="E5389" s="15">
        <v>1.46</v>
      </c>
    </row>
    <row r="5390" spans="1:5" x14ac:dyDescent="0.3">
      <c r="A5390" s="10">
        <v>610</v>
      </c>
      <c r="B5390" s="10">
        <v>10</v>
      </c>
      <c r="C5390" s="10" t="s">
        <v>21</v>
      </c>
      <c r="D5390" s="10" t="s">
        <v>25</v>
      </c>
      <c r="E5390" s="15">
        <f>6.69-0.111-0.068</f>
        <v>6.511000000000001</v>
      </c>
    </row>
    <row r="5391" spans="1:5" x14ac:dyDescent="0.3">
      <c r="A5391" s="10">
        <v>610</v>
      </c>
      <c r="B5391" s="10">
        <v>10</v>
      </c>
      <c r="C5391" s="10" t="s">
        <v>21</v>
      </c>
      <c r="D5391" s="10" t="s">
        <v>1</v>
      </c>
      <c r="E5391" s="15">
        <v>3.19</v>
      </c>
    </row>
    <row r="5392" spans="1:5" x14ac:dyDescent="0.3">
      <c r="A5392" s="10">
        <v>610</v>
      </c>
      <c r="B5392" s="10">
        <v>13</v>
      </c>
      <c r="C5392" s="10" t="s">
        <v>26</v>
      </c>
      <c r="D5392" s="10" t="s">
        <v>1</v>
      </c>
      <c r="E5392" s="15">
        <v>2.1549999999999998</v>
      </c>
    </row>
    <row r="5393" spans="1:5" x14ac:dyDescent="0.3">
      <c r="A5393" s="10">
        <v>610</v>
      </c>
      <c r="B5393" s="10">
        <v>13</v>
      </c>
      <c r="C5393" s="10" t="s">
        <v>21</v>
      </c>
      <c r="D5393" s="10" t="s">
        <v>1</v>
      </c>
      <c r="E5393" s="15">
        <v>2.1</v>
      </c>
    </row>
    <row r="5394" spans="1:5" x14ac:dyDescent="0.3">
      <c r="A5394" s="10">
        <v>610</v>
      </c>
      <c r="B5394" s="10">
        <v>16</v>
      </c>
      <c r="C5394" s="10" t="s">
        <v>48</v>
      </c>
      <c r="D5394" s="10" t="s">
        <v>22</v>
      </c>
      <c r="E5394" s="15">
        <f>11.187-2.773-0.357</f>
        <v>8.0570000000000004</v>
      </c>
    </row>
    <row r="5395" spans="1:5" x14ac:dyDescent="0.3">
      <c r="A5395" s="10">
        <v>610</v>
      </c>
      <c r="B5395" s="27">
        <v>17.48</v>
      </c>
      <c r="C5395" s="10" t="s">
        <v>26</v>
      </c>
      <c r="D5395" s="10" t="s">
        <v>1</v>
      </c>
      <c r="E5395" s="15">
        <f>3.47-0.065</f>
        <v>3.4050000000000002</v>
      </c>
    </row>
    <row r="5396" spans="1:5" x14ac:dyDescent="0.3">
      <c r="A5396" s="10">
        <v>610</v>
      </c>
      <c r="B5396" s="10">
        <v>18</v>
      </c>
      <c r="C5396" s="10" t="s">
        <v>26</v>
      </c>
      <c r="D5396" s="10" t="s">
        <v>1</v>
      </c>
      <c r="E5396" s="15">
        <f>1.151-0.132+2.66</f>
        <v>3.6790000000000003</v>
      </c>
    </row>
    <row r="5397" spans="1:5" x14ac:dyDescent="0.3">
      <c r="A5397" s="10">
        <v>610</v>
      </c>
      <c r="B5397" s="10">
        <v>20</v>
      </c>
      <c r="C5397" s="10" t="s">
        <v>26</v>
      </c>
      <c r="D5397" s="10" t="s">
        <v>1</v>
      </c>
      <c r="E5397" s="15">
        <f>4.22-0.102</f>
        <v>4.1179999999999994</v>
      </c>
    </row>
    <row r="5398" spans="1:5" x14ac:dyDescent="0.3">
      <c r="A5398" s="10">
        <v>610</v>
      </c>
      <c r="B5398" s="10">
        <v>20</v>
      </c>
      <c r="C5398" s="10" t="s">
        <v>21</v>
      </c>
      <c r="D5398" s="10" t="s">
        <v>25</v>
      </c>
      <c r="E5398" s="15">
        <f>10.833-0.31-0.24-7.243-0.071</f>
        <v>2.968999999999999</v>
      </c>
    </row>
    <row r="5399" spans="1:5" x14ac:dyDescent="0.3">
      <c r="A5399" s="20">
        <v>610</v>
      </c>
      <c r="B5399" s="20">
        <v>25</v>
      </c>
      <c r="C5399" s="20" t="s">
        <v>26</v>
      </c>
      <c r="D5399" s="20" t="s">
        <v>1</v>
      </c>
      <c r="E5399" s="21">
        <f>1.356-0.131-0.654-0.4+5.045-0.403</f>
        <v>4.8130000000000006</v>
      </c>
    </row>
    <row r="5400" spans="1:5" x14ac:dyDescent="0.3">
      <c r="A5400" s="8">
        <v>610</v>
      </c>
      <c r="B5400" s="8">
        <v>25</v>
      </c>
      <c r="C5400" s="8" t="s">
        <v>21</v>
      </c>
      <c r="D5400" s="8" t="s">
        <v>25</v>
      </c>
      <c r="E5400" s="9">
        <f>4.452-0.384</f>
        <v>4.0679999999999996</v>
      </c>
    </row>
    <row r="5401" spans="1:5" x14ac:dyDescent="0.3">
      <c r="A5401" s="10">
        <v>610</v>
      </c>
      <c r="B5401" s="10">
        <v>25</v>
      </c>
      <c r="C5401" s="10" t="s">
        <v>21</v>
      </c>
      <c r="D5401" s="10" t="s">
        <v>1</v>
      </c>
      <c r="E5401" s="15">
        <f>40.777+41.666-5.958</f>
        <v>76.484999999999999</v>
      </c>
    </row>
    <row r="5402" spans="1:5" x14ac:dyDescent="0.3">
      <c r="A5402" s="10">
        <v>609.6</v>
      </c>
      <c r="B5402" s="10">
        <v>24.61</v>
      </c>
      <c r="C5402" s="10" t="s">
        <v>139</v>
      </c>
      <c r="D5402" s="10" t="s">
        <v>114</v>
      </c>
      <c r="E5402" s="15">
        <f>40.737+43.735+19.65</f>
        <v>104.12200000000001</v>
      </c>
    </row>
    <row r="5403" spans="1:5" x14ac:dyDescent="0.3">
      <c r="A5403" s="10">
        <v>610</v>
      </c>
      <c r="B5403" s="10">
        <v>30</v>
      </c>
      <c r="C5403" s="10" t="s">
        <v>21</v>
      </c>
      <c r="D5403" s="10" t="s">
        <v>1</v>
      </c>
      <c r="E5403" s="15">
        <v>3.05</v>
      </c>
    </row>
    <row r="5404" spans="1:5" x14ac:dyDescent="0.3">
      <c r="A5404" s="8">
        <v>610</v>
      </c>
      <c r="B5404" s="8">
        <v>30</v>
      </c>
      <c r="C5404" s="8" t="s">
        <v>26</v>
      </c>
      <c r="D5404" s="8" t="s">
        <v>1</v>
      </c>
      <c r="E5404" s="9">
        <f>0.489-0.23-0.129+0.017-0.007</f>
        <v>0.14000000000000001</v>
      </c>
    </row>
    <row r="5405" spans="1:5" x14ac:dyDescent="0.3">
      <c r="A5405" s="10">
        <v>610</v>
      </c>
      <c r="B5405" s="10">
        <v>30</v>
      </c>
      <c r="C5405" s="10" t="s">
        <v>26</v>
      </c>
      <c r="D5405" s="10" t="s">
        <v>1</v>
      </c>
      <c r="E5405" s="15">
        <f>4.74+3.96</f>
        <v>8.6999999999999993</v>
      </c>
    </row>
    <row r="5406" spans="1:5" x14ac:dyDescent="0.3">
      <c r="A5406" s="10">
        <v>610</v>
      </c>
      <c r="B5406" s="10">
        <v>32</v>
      </c>
      <c r="C5406" s="10" t="s">
        <v>26</v>
      </c>
      <c r="D5406" s="10" t="s">
        <v>1</v>
      </c>
      <c r="E5406" s="15">
        <f>4.01+7.99+7.96-0.885</f>
        <v>19.074999999999999</v>
      </c>
    </row>
    <row r="5407" spans="1:5" x14ac:dyDescent="0.3">
      <c r="A5407" s="10">
        <v>610</v>
      </c>
      <c r="B5407" s="10">
        <v>36</v>
      </c>
      <c r="C5407" s="10" t="s">
        <v>26</v>
      </c>
      <c r="D5407" s="10" t="s">
        <v>1</v>
      </c>
      <c r="E5407" s="15">
        <f>4.395+8.785</f>
        <v>13.18</v>
      </c>
    </row>
    <row r="5408" spans="1:5" x14ac:dyDescent="0.3">
      <c r="A5408" s="8">
        <v>610</v>
      </c>
      <c r="B5408" s="8">
        <v>40</v>
      </c>
      <c r="C5408" s="8" t="s">
        <v>26</v>
      </c>
      <c r="D5408" s="8" t="s">
        <v>1</v>
      </c>
      <c r="E5408" s="9">
        <f>22.333+3.325+5.608-3.248-0.336-3.186-0.882-0.143</f>
        <v>23.470999999999997</v>
      </c>
    </row>
    <row r="5409" spans="1:5" x14ac:dyDescent="0.3">
      <c r="A5409" s="10">
        <v>610</v>
      </c>
      <c r="B5409" s="10">
        <v>40</v>
      </c>
      <c r="C5409" s="10" t="s">
        <v>26</v>
      </c>
      <c r="D5409" s="10" t="s">
        <v>1</v>
      </c>
      <c r="E5409" s="15">
        <f>20.205+2.151-0.988+2.044-1.942-0.153-0.633-2.01-1.931-0.249</f>
        <v>16.494</v>
      </c>
    </row>
    <row r="5410" spans="1:5" x14ac:dyDescent="0.3">
      <c r="A5410" s="10">
        <v>610</v>
      </c>
      <c r="B5410" s="10">
        <v>50</v>
      </c>
      <c r="C5410" s="10" t="s">
        <v>26</v>
      </c>
      <c r="D5410" s="10" t="s">
        <v>1</v>
      </c>
      <c r="E5410" s="15">
        <f>16.645-5.412-0.69+10.77-0.739+16.885+5.73-0.738-3.452-5.607</f>
        <v>33.39200000000001</v>
      </c>
    </row>
    <row r="5411" spans="1:5" x14ac:dyDescent="0.3">
      <c r="A5411" s="10">
        <v>610</v>
      </c>
      <c r="B5411" s="10">
        <v>60</v>
      </c>
      <c r="C5411" s="10" t="s">
        <v>26</v>
      </c>
      <c r="D5411" s="10" t="s">
        <v>1</v>
      </c>
      <c r="E5411" s="15">
        <v>19.78</v>
      </c>
    </row>
    <row r="5412" spans="1:5" x14ac:dyDescent="0.3">
      <c r="A5412" s="10">
        <v>610</v>
      </c>
      <c r="B5412" s="10">
        <v>70</v>
      </c>
      <c r="C5412" s="10" t="s">
        <v>26</v>
      </c>
      <c r="D5412" s="10" t="s">
        <v>1</v>
      </c>
      <c r="E5412" s="15">
        <v>7.0149999999999997</v>
      </c>
    </row>
    <row r="5413" spans="1:5" x14ac:dyDescent="0.3">
      <c r="A5413" s="10">
        <v>610</v>
      </c>
      <c r="B5413" s="10">
        <v>80</v>
      </c>
      <c r="C5413" s="10" t="s">
        <v>26</v>
      </c>
      <c r="D5413" s="10" t="s">
        <v>1</v>
      </c>
      <c r="E5413" s="15">
        <f>6.8-0.545</f>
        <v>6.2549999999999999</v>
      </c>
    </row>
    <row r="5414" spans="1:5" x14ac:dyDescent="0.3">
      <c r="A5414" s="10">
        <v>610</v>
      </c>
      <c r="B5414" s="10">
        <v>100</v>
      </c>
      <c r="C5414" s="10" t="s">
        <v>26</v>
      </c>
      <c r="D5414" s="10" t="s">
        <v>1</v>
      </c>
      <c r="E5414" s="15">
        <v>8.01</v>
      </c>
    </row>
    <row r="5415" spans="1:5" x14ac:dyDescent="0.3">
      <c r="A5415" s="10">
        <v>610</v>
      </c>
      <c r="B5415" s="10">
        <v>160</v>
      </c>
      <c r="C5415" s="10" t="s">
        <v>106</v>
      </c>
      <c r="D5415" s="10" t="s">
        <v>1</v>
      </c>
      <c r="E5415" s="15">
        <v>15.94</v>
      </c>
    </row>
    <row r="5416" spans="1:5" x14ac:dyDescent="0.3">
      <c r="A5416" s="10">
        <v>610</v>
      </c>
      <c r="B5416" s="10">
        <v>220</v>
      </c>
      <c r="C5416" s="10" t="s">
        <v>106</v>
      </c>
      <c r="D5416" s="10" t="s">
        <v>1</v>
      </c>
      <c r="E5416" s="15">
        <v>1.05</v>
      </c>
    </row>
    <row r="5417" spans="1:5" x14ac:dyDescent="0.3">
      <c r="A5417" s="10">
        <v>615</v>
      </c>
      <c r="B5417" s="10">
        <v>50</v>
      </c>
      <c r="C5417" s="10" t="s">
        <v>28</v>
      </c>
      <c r="D5417" s="10" t="s">
        <v>1</v>
      </c>
      <c r="E5417" s="15">
        <v>6.3250000000000002</v>
      </c>
    </row>
    <row r="5418" spans="1:5" x14ac:dyDescent="0.3">
      <c r="A5418" s="10">
        <v>630</v>
      </c>
      <c r="B5418" s="10">
        <v>5</v>
      </c>
      <c r="C5418" s="10">
        <v>20</v>
      </c>
      <c r="D5418" s="10" t="s">
        <v>7</v>
      </c>
      <c r="E5418" s="15">
        <v>0.92500000000000004</v>
      </c>
    </row>
    <row r="5419" spans="1:5" x14ac:dyDescent="0.3">
      <c r="A5419" s="10">
        <v>630</v>
      </c>
      <c r="B5419" s="10">
        <v>6</v>
      </c>
      <c r="C5419" s="10">
        <v>20</v>
      </c>
      <c r="D5419" s="10" t="s">
        <v>7</v>
      </c>
      <c r="E5419" s="15">
        <v>2.0310000000000001</v>
      </c>
    </row>
    <row r="5420" spans="1:5" x14ac:dyDescent="0.3">
      <c r="A5420" s="10">
        <v>630</v>
      </c>
      <c r="B5420" s="10">
        <v>6</v>
      </c>
      <c r="C5420" s="10" t="s">
        <v>48</v>
      </c>
      <c r="D5420" s="10" t="s">
        <v>7</v>
      </c>
      <c r="E5420" s="15">
        <v>2.2160000000000002</v>
      </c>
    </row>
    <row r="5421" spans="1:5" x14ac:dyDescent="0.3">
      <c r="A5421" s="10">
        <v>630</v>
      </c>
      <c r="B5421" s="10">
        <v>7</v>
      </c>
      <c r="C5421" s="10">
        <v>20</v>
      </c>
      <c r="D5421" s="10" t="s">
        <v>7</v>
      </c>
      <c r="E5421" s="15">
        <f>1.306+0.635+0.351-0.351-0.441-0.398-0.223-0.065-0.064+0.678-0.091-0.081-0.272+0.914+2.269-0.495-0.387-0.121-0.057-0.541-0.113-0.115-0.722-0.223-0.818-0.278-0.126-0.077</f>
        <v>9.3999999999999598E-2</v>
      </c>
    </row>
    <row r="5422" spans="1:5" x14ac:dyDescent="0.3">
      <c r="A5422" s="10">
        <v>630</v>
      </c>
      <c r="B5422" s="10">
        <v>7</v>
      </c>
      <c r="C5422" s="10">
        <v>20</v>
      </c>
      <c r="D5422" s="10" t="s">
        <v>25</v>
      </c>
      <c r="E5422" s="15">
        <f>10.879-0.139</f>
        <v>10.74</v>
      </c>
    </row>
    <row r="5423" spans="1:5" x14ac:dyDescent="0.3">
      <c r="A5423" s="10">
        <v>630</v>
      </c>
      <c r="B5423" s="10">
        <v>8</v>
      </c>
      <c r="C5423" s="10">
        <v>20</v>
      </c>
      <c r="D5423" s="10" t="s">
        <v>7</v>
      </c>
      <c r="E5423" s="15">
        <f>1.473-0.255-0.255-0.129</f>
        <v>0.83399999999999996</v>
      </c>
    </row>
    <row r="5424" spans="1:5" x14ac:dyDescent="0.3">
      <c r="A5424" s="10">
        <v>630</v>
      </c>
      <c r="B5424" s="10">
        <v>8</v>
      </c>
      <c r="C5424" s="10" t="s">
        <v>26</v>
      </c>
      <c r="D5424" s="10" t="s">
        <v>7</v>
      </c>
      <c r="E5424" s="15">
        <f>1.002-0.366+0.036+2.208-0.132-0.181-0.233+2.896-0.755-0.758+2.737-0.2-0.506-0.143-0.055-1.473-0.127-0.911</f>
        <v>3.039000000000001</v>
      </c>
    </row>
    <row r="5425" spans="1:5" x14ac:dyDescent="0.3">
      <c r="A5425" s="8">
        <v>630</v>
      </c>
      <c r="B5425" s="8">
        <v>8</v>
      </c>
      <c r="C5425" s="8" t="s">
        <v>26</v>
      </c>
      <c r="D5425" s="8" t="s">
        <v>22</v>
      </c>
      <c r="E5425" s="9">
        <f>2.56+0.136-0.107-0.453-0.129-1.29</f>
        <v>0.71700000000000008</v>
      </c>
    </row>
    <row r="5426" spans="1:5" x14ac:dyDescent="0.3">
      <c r="A5426" s="10">
        <v>630</v>
      </c>
      <c r="B5426" s="10">
        <v>8</v>
      </c>
      <c r="C5426" s="10" t="s">
        <v>21</v>
      </c>
      <c r="D5426" s="10" t="s">
        <v>7</v>
      </c>
      <c r="E5426" s="15">
        <f>2.343+7.905-1.468-0.852-0.412-0.582-0.131-0.397-0.574</f>
        <v>5.8320000000000007</v>
      </c>
    </row>
    <row r="5427" spans="1:5" x14ac:dyDescent="0.3">
      <c r="A5427" s="10">
        <v>630</v>
      </c>
      <c r="B5427" s="10">
        <v>8</v>
      </c>
      <c r="C5427" s="10" t="s">
        <v>21</v>
      </c>
      <c r="D5427" s="10" t="s">
        <v>22</v>
      </c>
      <c r="E5427" s="15">
        <v>1.4730000000000001</v>
      </c>
    </row>
    <row r="5428" spans="1:5" x14ac:dyDescent="0.3">
      <c r="A5428" s="10">
        <v>630</v>
      </c>
      <c r="B5428" s="10">
        <v>9</v>
      </c>
      <c r="C5428" s="10">
        <v>20</v>
      </c>
      <c r="D5428" s="10" t="s">
        <v>7</v>
      </c>
      <c r="E5428" s="15">
        <f>2.911+1.034+0.827+1.227-0.421-0.202-0.144-0.173</f>
        <v>5.0590000000000002</v>
      </c>
    </row>
    <row r="5429" spans="1:5" x14ac:dyDescent="0.3">
      <c r="A5429" s="10">
        <v>630</v>
      </c>
      <c r="B5429" s="10">
        <v>9</v>
      </c>
      <c r="C5429" s="10" t="s">
        <v>26</v>
      </c>
      <c r="D5429" s="10" t="s">
        <v>7</v>
      </c>
      <c r="E5429" s="15">
        <v>1.6539999999999999</v>
      </c>
    </row>
    <row r="5430" spans="1:5" x14ac:dyDescent="0.3">
      <c r="A5430" s="10">
        <v>630</v>
      </c>
      <c r="B5430" s="10">
        <v>10</v>
      </c>
      <c r="C5430" s="10">
        <v>20</v>
      </c>
      <c r="D5430" s="10" t="s">
        <v>7</v>
      </c>
      <c r="E5430" s="15">
        <f>1.3+2.094</f>
        <v>3.3940000000000001</v>
      </c>
    </row>
    <row r="5431" spans="1:5" x14ac:dyDescent="0.3">
      <c r="A5431" s="8">
        <v>630</v>
      </c>
      <c r="B5431" s="8">
        <v>10</v>
      </c>
      <c r="C5431" s="8" t="s">
        <v>48</v>
      </c>
      <c r="D5431" s="8" t="s">
        <v>25</v>
      </c>
      <c r="E5431" s="9">
        <f>3.665+3.621-0.225-1.796</f>
        <v>5.2649999999999997</v>
      </c>
    </row>
    <row r="5432" spans="1:5" x14ac:dyDescent="0.3">
      <c r="A5432" s="10">
        <v>630</v>
      </c>
      <c r="B5432" s="10">
        <v>11</v>
      </c>
      <c r="C5432" s="10" t="s">
        <v>26</v>
      </c>
      <c r="D5432" s="10" t="s">
        <v>7</v>
      </c>
      <c r="E5432" s="15">
        <f>2.015+2.015-0.341</f>
        <v>3.6890000000000001</v>
      </c>
    </row>
    <row r="5433" spans="1:5" x14ac:dyDescent="0.3">
      <c r="A5433" s="24">
        <v>630</v>
      </c>
      <c r="B5433" s="24">
        <v>12</v>
      </c>
      <c r="C5433" s="20" t="s">
        <v>58</v>
      </c>
      <c r="D5433" s="20" t="s">
        <v>7</v>
      </c>
      <c r="E5433" s="25">
        <f>1.701-0.148-0.564-0.071</f>
        <v>0.91800000000000026</v>
      </c>
    </row>
    <row r="5434" spans="1:5" x14ac:dyDescent="0.3">
      <c r="A5434" s="10">
        <v>630</v>
      </c>
      <c r="B5434" s="10">
        <v>12</v>
      </c>
      <c r="C5434" s="10">
        <v>20</v>
      </c>
      <c r="D5434" s="10" t="s">
        <v>7</v>
      </c>
      <c r="E5434" s="15">
        <f>3.274-0.379-0.193</f>
        <v>2.702</v>
      </c>
    </row>
    <row r="5435" spans="1:5" x14ac:dyDescent="0.3">
      <c r="A5435" s="10">
        <v>630</v>
      </c>
      <c r="B5435" s="10">
        <v>12</v>
      </c>
      <c r="C5435" s="10">
        <v>20</v>
      </c>
      <c r="D5435" s="10" t="s">
        <v>1</v>
      </c>
      <c r="E5435" s="15">
        <f>2.446+1.242-0.197-0.195-0.38-0.191</f>
        <v>2.7250000000000005</v>
      </c>
    </row>
    <row r="5436" spans="1:5" x14ac:dyDescent="0.3">
      <c r="A5436" s="10">
        <v>630</v>
      </c>
      <c r="B5436" s="10">
        <v>12</v>
      </c>
      <c r="C5436" s="10" t="s">
        <v>26</v>
      </c>
      <c r="D5436" s="10" t="s">
        <v>7</v>
      </c>
      <c r="E5436" s="15">
        <f>1.802+1.072+1.92-0.283-0.568-0.381-0.222-0.065+5.706-0.305-0.226-1.057-0.196-0.139-0.472-0.145-0.169-0.195-3.844-0.211-0.069-0.111-0.38+7.992-0.195-0.379-0.389</f>
        <v>8.4910000000000014</v>
      </c>
    </row>
    <row r="5437" spans="1:5" x14ac:dyDescent="0.3">
      <c r="A5437" s="10">
        <v>630</v>
      </c>
      <c r="B5437" s="10">
        <v>12</v>
      </c>
      <c r="C5437" s="10" t="s">
        <v>26</v>
      </c>
      <c r="D5437" s="10" t="s">
        <v>1</v>
      </c>
      <c r="E5437" s="15">
        <f>5.78+5.98-0.454-4.078-0.102</f>
        <v>7.1260000000000003</v>
      </c>
    </row>
    <row r="5438" spans="1:5" x14ac:dyDescent="0.3">
      <c r="A5438" s="8">
        <v>630</v>
      </c>
      <c r="B5438" s="8">
        <v>12</v>
      </c>
      <c r="C5438" s="8" t="s">
        <v>48</v>
      </c>
      <c r="D5438" s="8" t="s">
        <v>22</v>
      </c>
      <c r="E5438" s="9">
        <f>4.159-2.088-0.195</f>
        <v>1.8759999999999997</v>
      </c>
    </row>
    <row r="5439" spans="1:5" x14ac:dyDescent="0.3">
      <c r="A5439" s="10">
        <v>630</v>
      </c>
      <c r="B5439" s="10">
        <v>12</v>
      </c>
      <c r="C5439" s="10" t="s">
        <v>21</v>
      </c>
      <c r="D5439" s="10" t="s">
        <v>7</v>
      </c>
      <c r="E5439" s="15">
        <f>1.097-0.287</f>
        <v>0.81</v>
      </c>
    </row>
    <row r="5440" spans="1:5" x14ac:dyDescent="0.3">
      <c r="A5440" s="8">
        <v>630</v>
      </c>
      <c r="B5440" s="8">
        <v>12</v>
      </c>
      <c r="C5440" s="8" t="s">
        <v>47</v>
      </c>
      <c r="D5440" s="8" t="s">
        <v>22</v>
      </c>
      <c r="E5440" s="9">
        <f>2.115-0.039</f>
        <v>2.0760000000000001</v>
      </c>
    </row>
    <row r="5441" spans="1:5" x14ac:dyDescent="0.3">
      <c r="A5441" s="10">
        <v>630</v>
      </c>
      <c r="B5441" s="10">
        <v>14</v>
      </c>
      <c r="C5441" s="10" t="s">
        <v>190</v>
      </c>
      <c r="D5441" s="10" t="s">
        <v>140</v>
      </c>
      <c r="E5441" s="15">
        <v>0.61299999999999999</v>
      </c>
    </row>
    <row r="5442" spans="1:5" x14ac:dyDescent="0.3">
      <c r="A5442" s="10">
        <v>630</v>
      </c>
      <c r="B5442" s="10">
        <v>14</v>
      </c>
      <c r="C5442" s="10">
        <v>20</v>
      </c>
      <c r="D5442" s="10" t="s">
        <v>1</v>
      </c>
      <c r="E5442" s="15">
        <f>1.61-0.057+0.027-0.181+0.181</f>
        <v>1.58</v>
      </c>
    </row>
    <row r="5443" spans="1:5" x14ac:dyDescent="0.3">
      <c r="A5443" s="10">
        <v>630</v>
      </c>
      <c r="B5443" s="10">
        <v>14</v>
      </c>
      <c r="C5443" s="10" t="s">
        <v>26</v>
      </c>
      <c r="D5443" s="10" t="s">
        <v>1</v>
      </c>
      <c r="E5443" s="15">
        <f>6.54+4.475-1.358</f>
        <v>9.657</v>
      </c>
    </row>
    <row r="5444" spans="1:5" x14ac:dyDescent="0.3">
      <c r="A5444" s="10">
        <v>630</v>
      </c>
      <c r="B5444" s="10">
        <v>15</v>
      </c>
      <c r="C5444" s="10">
        <v>20</v>
      </c>
      <c r="D5444" s="10" t="s">
        <v>25</v>
      </c>
      <c r="E5444" s="15">
        <f>2.732-0.065-0.243-0.393-1.461-0.243</f>
        <v>0.32700000000000051</v>
      </c>
    </row>
    <row r="5445" spans="1:5" x14ac:dyDescent="0.3">
      <c r="A5445" s="10">
        <v>630</v>
      </c>
      <c r="B5445" s="10">
        <v>16</v>
      </c>
      <c r="C5445" s="10">
        <v>20</v>
      </c>
      <c r="D5445" s="10" t="s">
        <v>1</v>
      </c>
      <c r="E5445" s="15">
        <f>2.82-0.181</f>
        <v>2.6389999999999998</v>
      </c>
    </row>
    <row r="5446" spans="1:5" x14ac:dyDescent="0.3">
      <c r="A5446" s="10">
        <v>630</v>
      </c>
      <c r="B5446" s="10">
        <v>16</v>
      </c>
      <c r="C5446" s="10" t="s">
        <v>26</v>
      </c>
      <c r="D5446" s="10" t="s">
        <v>1</v>
      </c>
      <c r="E5446" s="15">
        <f>4.82+7.01</f>
        <v>11.83</v>
      </c>
    </row>
    <row r="5447" spans="1:5" x14ac:dyDescent="0.3">
      <c r="A5447" s="10">
        <v>630</v>
      </c>
      <c r="B5447" s="10">
        <v>20</v>
      </c>
      <c r="C5447" s="10" t="s">
        <v>26</v>
      </c>
      <c r="D5447" s="10" t="s">
        <v>22</v>
      </c>
      <c r="E5447" s="15">
        <f>38.697-3.6-1.844-7.022+0.707-1.844-0.061-1.506-1.5-0.647-0.775-0.305-7.394-0.921-0.22-2.789-4.791+21.891-0.625-3.598-3.68-0.567-0.336-0.162-2.482</f>
        <v>14.626000000000005</v>
      </c>
    </row>
    <row r="5448" spans="1:5" x14ac:dyDescent="0.3">
      <c r="A5448" s="10">
        <v>630</v>
      </c>
      <c r="B5448" s="10">
        <v>20</v>
      </c>
      <c r="C5448" s="10" t="s">
        <v>26</v>
      </c>
      <c r="D5448" s="10" t="s">
        <v>1</v>
      </c>
      <c r="E5448" s="15">
        <f>3.999+4.47+8.859-0.574-0.95-0.192-0.654-2.56-2.513-1.305-0.106-1.068-0.654-0.654-0.169-0.128</f>
        <v>5.8009999999999993</v>
      </c>
    </row>
    <row r="5449" spans="1:5" x14ac:dyDescent="0.3">
      <c r="A5449" s="8">
        <v>630</v>
      </c>
      <c r="B5449" s="8">
        <v>20</v>
      </c>
      <c r="C5449" s="8" t="s">
        <v>48</v>
      </c>
      <c r="D5449" s="8" t="s">
        <v>22</v>
      </c>
      <c r="E5449" s="9">
        <f>10.842-0.625-0.503-0.287-0.15</f>
        <v>9.2769999999999992</v>
      </c>
    </row>
    <row r="5450" spans="1:5" x14ac:dyDescent="0.3">
      <c r="A5450" s="10">
        <v>630</v>
      </c>
      <c r="B5450" s="10">
        <v>20</v>
      </c>
      <c r="C5450" s="10" t="s">
        <v>190</v>
      </c>
      <c r="D5450" s="10" t="s">
        <v>140</v>
      </c>
      <c r="E5450" s="15">
        <v>0.89800000000000002</v>
      </c>
    </row>
    <row r="5451" spans="1:5" x14ac:dyDescent="0.3">
      <c r="A5451" s="8">
        <v>630</v>
      </c>
      <c r="B5451" s="8">
        <v>25</v>
      </c>
      <c r="C5451" s="8">
        <v>20</v>
      </c>
      <c r="D5451" s="8" t="s">
        <v>1</v>
      </c>
      <c r="E5451" s="9">
        <f>4.181-1.06-0.985-0.352+0.369-0.773+0.765-0.765-0.318+0.318+0.031-0.13+0.13</f>
        <v>1.411</v>
      </c>
    </row>
    <row r="5452" spans="1:5" x14ac:dyDescent="0.3">
      <c r="A5452" s="10">
        <v>630</v>
      </c>
      <c r="B5452" s="10">
        <v>25</v>
      </c>
      <c r="C5452" s="10">
        <v>20</v>
      </c>
      <c r="D5452" s="10" t="s">
        <v>1</v>
      </c>
      <c r="E5452" s="15">
        <f>3.995-0.401+8.14-0.13-0.797-1.42</f>
        <v>9.3870000000000005</v>
      </c>
    </row>
    <row r="5453" spans="1:5" x14ac:dyDescent="0.3">
      <c r="A5453" s="10">
        <v>630</v>
      </c>
      <c r="B5453" s="10">
        <v>25</v>
      </c>
      <c r="C5453" s="10" t="s">
        <v>26</v>
      </c>
      <c r="D5453" s="10" t="s">
        <v>1</v>
      </c>
      <c r="E5453" s="15">
        <f>4.741+4.906+4.12-0.329-1.17-0.401-0.212-4.73-0.166-2.14-0.582</f>
        <v>4.0369999999999981</v>
      </c>
    </row>
    <row r="5454" spans="1:5" x14ac:dyDescent="0.3">
      <c r="A5454" s="8">
        <v>630</v>
      </c>
      <c r="B5454" s="8">
        <v>25</v>
      </c>
      <c r="C5454" s="8" t="s">
        <v>50</v>
      </c>
      <c r="D5454" s="8" t="s">
        <v>51</v>
      </c>
      <c r="E5454" s="9">
        <f>6.496-0.335-0.411-0.42-0.128-3.246-0.24</f>
        <v>1.7160000000000009</v>
      </c>
    </row>
    <row r="5455" spans="1:5" x14ac:dyDescent="0.3">
      <c r="A5455" s="10">
        <v>630</v>
      </c>
      <c r="B5455" s="10">
        <v>32</v>
      </c>
      <c r="C5455" s="10" t="s">
        <v>26</v>
      </c>
      <c r="D5455" s="10" t="s">
        <v>1</v>
      </c>
      <c r="E5455" s="15">
        <f>29.255+11.665-0.32-1.294-1.22</f>
        <v>38.086000000000006</v>
      </c>
    </row>
    <row r="5456" spans="1:5" x14ac:dyDescent="0.3">
      <c r="A5456" s="10">
        <v>630</v>
      </c>
      <c r="B5456" s="10">
        <v>34</v>
      </c>
      <c r="C5456" s="10" t="s">
        <v>162</v>
      </c>
      <c r="D5456" s="10" t="s">
        <v>163</v>
      </c>
      <c r="E5456" s="15">
        <v>2.86</v>
      </c>
    </row>
    <row r="5457" spans="1:5" x14ac:dyDescent="0.3">
      <c r="A5457" s="10">
        <v>630</v>
      </c>
      <c r="B5457" s="10">
        <v>35</v>
      </c>
      <c r="C5457" s="10">
        <v>20</v>
      </c>
      <c r="D5457" s="10" t="s">
        <v>1</v>
      </c>
      <c r="E5457" s="15">
        <v>4.3639999999999999</v>
      </c>
    </row>
    <row r="5458" spans="1:5" x14ac:dyDescent="0.3">
      <c r="A5458" s="10">
        <v>630</v>
      </c>
      <c r="B5458" s="10">
        <v>36</v>
      </c>
      <c r="C5458" s="10" t="s">
        <v>26</v>
      </c>
      <c r="D5458" s="10" t="s">
        <v>1</v>
      </c>
      <c r="E5458" s="15">
        <v>21.594999999999999</v>
      </c>
    </row>
    <row r="5459" spans="1:5" x14ac:dyDescent="0.3">
      <c r="A5459" s="10">
        <v>630</v>
      </c>
      <c r="B5459" s="10">
        <v>40</v>
      </c>
      <c r="C5459" s="10" t="s">
        <v>26</v>
      </c>
      <c r="D5459" s="10" t="s">
        <v>1</v>
      </c>
      <c r="E5459" s="15">
        <f>9.65+14.53+8.87-8.853</f>
        <v>24.196999999999996</v>
      </c>
    </row>
    <row r="5460" spans="1:5" x14ac:dyDescent="0.3">
      <c r="A5460" s="10">
        <v>630</v>
      </c>
      <c r="B5460" s="10">
        <v>50</v>
      </c>
      <c r="C5460" s="10" t="s">
        <v>26</v>
      </c>
      <c r="D5460" s="10" t="s">
        <v>1</v>
      </c>
      <c r="E5460" s="15">
        <f>12.601+6.594+18.743+3.366-0.678-6.1-6.603-3.273-0.938-0.721-1.031-0.974+5.43-1.103-2.2-1.507-0.655</f>
        <v>20.951000000000001</v>
      </c>
    </row>
    <row r="5461" spans="1:5" x14ac:dyDescent="0.3">
      <c r="A5461" s="10">
        <v>630</v>
      </c>
      <c r="B5461" s="10">
        <v>60</v>
      </c>
      <c r="C5461" s="10" t="s">
        <v>26</v>
      </c>
      <c r="D5461" s="10" t="s">
        <v>1</v>
      </c>
      <c r="E5461" s="15">
        <f>13.196+6.718-0.48-0.351-1.49-1.327</f>
        <v>16.266000000000005</v>
      </c>
    </row>
    <row r="5462" spans="1:5" x14ac:dyDescent="0.3">
      <c r="A5462" s="10">
        <v>630</v>
      </c>
      <c r="B5462" s="10">
        <v>70</v>
      </c>
      <c r="C5462" s="10" t="s">
        <v>26</v>
      </c>
      <c r="D5462" s="10" t="s">
        <v>1</v>
      </c>
      <c r="E5462" s="15">
        <f>14.15-1.241</f>
        <v>12.909000000000001</v>
      </c>
    </row>
    <row r="5463" spans="1:5" x14ac:dyDescent="0.3">
      <c r="A5463" s="10">
        <v>630</v>
      </c>
      <c r="B5463" s="10">
        <v>80</v>
      </c>
      <c r="C5463" s="10" t="s">
        <v>26</v>
      </c>
      <c r="D5463" s="10" t="s">
        <v>1</v>
      </c>
      <c r="E5463" s="15">
        <f>7.42-1.349+7.32</f>
        <v>13.391</v>
      </c>
    </row>
    <row r="5464" spans="1:5" x14ac:dyDescent="0.3">
      <c r="A5464" s="10">
        <v>630</v>
      </c>
      <c r="B5464" s="10">
        <v>100</v>
      </c>
      <c r="C5464" s="10" t="s">
        <v>26</v>
      </c>
      <c r="D5464" s="10" t="s">
        <v>1</v>
      </c>
      <c r="E5464" s="15">
        <f>8.595-0.794</f>
        <v>7.8010000000000002</v>
      </c>
    </row>
    <row r="5465" spans="1:5" x14ac:dyDescent="0.3">
      <c r="A5465" s="10">
        <v>660</v>
      </c>
      <c r="B5465" s="10">
        <v>30</v>
      </c>
      <c r="C5465" s="10" t="s">
        <v>65</v>
      </c>
      <c r="D5465" s="10" t="s">
        <v>57</v>
      </c>
      <c r="E5465" s="15">
        <f>16.728-1.602-0.239-0.169-0.201-0.323-0.169</f>
        <v>14.024999999999999</v>
      </c>
    </row>
    <row r="5466" spans="1:5" x14ac:dyDescent="0.3">
      <c r="A5466" s="10">
        <v>660</v>
      </c>
      <c r="B5466" s="10">
        <v>30</v>
      </c>
      <c r="C5466" s="10" t="s">
        <v>26</v>
      </c>
      <c r="D5466" s="10" t="s">
        <v>1</v>
      </c>
      <c r="E5466" s="15">
        <f>3.645+3.59+7.07-0.975-0.98-0.258-0.589-0.717-0.354</f>
        <v>10.431999999999999</v>
      </c>
    </row>
    <row r="5467" spans="1:5" x14ac:dyDescent="0.3">
      <c r="A5467" s="10">
        <v>660</v>
      </c>
      <c r="B5467" s="10">
        <v>40</v>
      </c>
      <c r="C5467" s="10" t="s">
        <v>26</v>
      </c>
      <c r="D5467" s="10" t="s">
        <v>1</v>
      </c>
      <c r="E5467" s="15">
        <f>9.66+4.91-2.857</f>
        <v>11.713000000000001</v>
      </c>
    </row>
    <row r="5468" spans="1:5" x14ac:dyDescent="0.3">
      <c r="A5468" s="10">
        <v>660</v>
      </c>
      <c r="B5468" s="10">
        <v>50</v>
      </c>
      <c r="C5468" s="10" t="s">
        <v>26</v>
      </c>
      <c r="D5468" s="10" t="s">
        <v>1</v>
      </c>
      <c r="E5468" s="15">
        <f>6.35+6.215-0.626</f>
        <v>11.939</v>
      </c>
    </row>
    <row r="5469" spans="1:5" x14ac:dyDescent="0.3">
      <c r="A5469" s="10">
        <v>660</v>
      </c>
      <c r="B5469" s="10">
        <v>60</v>
      </c>
      <c r="C5469" s="10" t="s">
        <v>26</v>
      </c>
      <c r="D5469" s="10" t="s">
        <v>1</v>
      </c>
      <c r="E5469" s="15">
        <f>6.314+6.461+6.182-0.405-0.513</f>
        <v>18.038999999999998</v>
      </c>
    </row>
    <row r="5470" spans="1:5" x14ac:dyDescent="0.3">
      <c r="A5470" s="10">
        <v>660</v>
      </c>
      <c r="B5470" s="10">
        <v>80</v>
      </c>
      <c r="C5470" s="10" t="s">
        <v>26</v>
      </c>
      <c r="D5470" s="10" t="s">
        <v>1</v>
      </c>
      <c r="E5470" s="15">
        <f>7.355-2.13</f>
        <v>5.2250000000000005</v>
      </c>
    </row>
    <row r="5471" spans="1:5" x14ac:dyDescent="0.3">
      <c r="A5471" s="10">
        <v>700</v>
      </c>
      <c r="B5471" s="10">
        <v>40</v>
      </c>
      <c r="C5471" s="10" t="s">
        <v>26</v>
      </c>
      <c r="D5471" s="10" t="s">
        <v>1</v>
      </c>
      <c r="E5471" s="15">
        <v>5.51</v>
      </c>
    </row>
    <row r="5472" spans="1:5" x14ac:dyDescent="0.3">
      <c r="A5472" s="10">
        <v>711</v>
      </c>
      <c r="B5472" s="10">
        <v>10</v>
      </c>
      <c r="C5472" s="10" t="s">
        <v>21</v>
      </c>
      <c r="D5472" s="10" t="s">
        <v>25</v>
      </c>
      <c r="E5472" s="15">
        <v>1.95</v>
      </c>
    </row>
    <row r="5473" spans="1:5" x14ac:dyDescent="0.3">
      <c r="A5473" s="10">
        <v>711</v>
      </c>
      <c r="B5473" s="10">
        <v>13</v>
      </c>
      <c r="C5473" s="10" t="s">
        <v>21</v>
      </c>
      <c r="D5473" s="10" t="s">
        <v>25</v>
      </c>
      <c r="E5473" s="15">
        <v>2.57</v>
      </c>
    </row>
    <row r="5474" spans="1:5" x14ac:dyDescent="0.3">
      <c r="A5474" s="10">
        <v>711</v>
      </c>
      <c r="B5474" s="10">
        <v>19</v>
      </c>
      <c r="C5474" s="10" t="s">
        <v>21</v>
      </c>
      <c r="D5474" s="10" t="s">
        <v>25</v>
      </c>
      <c r="E5474" s="15">
        <f>3.583-0.346-0.076</f>
        <v>3.161</v>
      </c>
    </row>
    <row r="5475" spans="1:5" x14ac:dyDescent="0.3">
      <c r="A5475" s="10">
        <v>711</v>
      </c>
      <c r="B5475" s="10">
        <v>45</v>
      </c>
      <c r="C5475" s="10">
        <v>20</v>
      </c>
      <c r="D5475" s="10" t="s">
        <v>1</v>
      </c>
      <c r="E5475" s="15">
        <f>6.88-0.187-1.294+0.053</f>
        <v>5.4519999999999991</v>
      </c>
    </row>
    <row r="5476" spans="1:5" x14ac:dyDescent="0.3">
      <c r="A5476" s="10">
        <v>711</v>
      </c>
      <c r="B5476" s="10">
        <v>45</v>
      </c>
      <c r="C5476" s="10" t="s">
        <v>26</v>
      </c>
      <c r="D5476" s="10" t="s">
        <v>1</v>
      </c>
      <c r="E5476" s="15">
        <f>12.12-5.89</f>
        <v>6.2299999999999995</v>
      </c>
    </row>
    <row r="5477" spans="1:5" x14ac:dyDescent="0.3">
      <c r="A5477" s="10">
        <v>720</v>
      </c>
      <c r="B5477" s="10">
        <v>8</v>
      </c>
      <c r="C5477" s="10" t="s">
        <v>98</v>
      </c>
      <c r="D5477" s="10" t="s">
        <v>22</v>
      </c>
      <c r="E5477" s="15">
        <f>3.318-0.08-0.098-0.11-0.406-0.219-0.974-0.125-0.143-0.579-0.15-0.09-0.339</f>
        <v>5.000000000000282E-3</v>
      </c>
    </row>
    <row r="5478" spans="1:5" x14ac:dyDescent="0.3">
      <c r="A5478" s="10">
        <v>720</v>
      </c>
      <c r="B5478" s="10">
        <v>9</v>
      </c>
      <c r="C5478" s="10" t="s">
        <v>26</v>
      </c>
      <c r="D5478" s="10" t="s">
        <v>25</v>
      </c>
      <c r="E5478" s="15">
        <f>1.777-0.184-0.166+0.026-0.063-0.105-0.089</f>
        <v>1.1960000000000002</v>
      </c>
    </row>
    <row r="5479" spans="1:5" x14ac:dyDescent="0.3">
      <c r="A5479" s="8">
        <v>720</v>
      </c>
      <c r="B5479" s="8">
        <v>10</v>
      </c>
      <c r="C5479" s="8" t="s">
        <v>48</v>
      </c>
      <c r="D5479" s="8" t="s">
        <v>25</v>
      </c>
      <c r="E5479" s="9">
        <f>8.446-0.098-0.276-0.116-0.365-0.054-0.36-0.365-0.475-0.452-0.12-0.07-0.592-0.077-0.224-0.185-0.187-0.233</f>
        <v>4.1969999999999992</v>
      </c>
    </row>
    <row r="5480" spans="1:5" x14ac:dyDescent="0.3">
      <c r="A5480" s="8">
        <v>720</v>
      </c>
      <c r="B5480" s="8">
        <v>10.8</v>
      </c>
      <c r="C5480" s="12" t="s">
        <v>47</v>
      </c>
      <c r="D5480" s="8" t="s">
        <v>22</v>
      </c>
      <c r="E5480" s="9">
        <f>2.175+0.982-1.03-0.123+0.049-0.197-0.774-0.583-0.197</f>
        <v>0.30199999999999944</v>
      </c>
    </row>
    <row r="5481" spans="1:5" x14ac:dyDescent="0.3">
      <c r="A5481" s="10">
        <v>720</v>
      </c>
      <c r="B5481" s="10">
        <v>12</v>
      </c>
      <c r="C5481" s="10">
        <v>20</v>
      </c>
      <c r="D5481" s="10" t="s">
        <v>1</v>
      </c>
      <c r="E5481" s="15">
        <v>2.952</v>
      </c>
    </row>
    <row r="5482" spans="1:5" x14ac:dyDescent="0.3">
      <c r="A5482" s="10">
        <v>720</v>
      </c>
      <c r="B5482" s="10">
        <v>12</v>
      </c>
      <c r="C5482" s="10" t="s">
        <v>102</v>
      </c>
      <c r="D5482" s="10" t="s">
        <v>25</v>
      </c>
      <c r="E5482" s="15">
        <f>5.15-0.085-0.157-0.117-0.181</f>
        <v>4.6100000000000003</v>
      </c>
    </row>
    <row r="5483" spans="1:5" x14ac:dyDescent="0.3">
      <c r="A5483" s="8">
        <v>720</v>
      </c>
      <c r="B5483" s="8">
        <v>13</v>
      </c>
      <c r="C5483" s="12" t="s">
        <v>47</v>
      </c>
      <c r="D5483" s="8" t="s">
        <v>22</v>
      </c>
      <c r="E5483" s="9">
        <f>5.501-0.244-0.48+0.01-0.241-0.244-0.419</f>
        <v>3.8830000000000013</v>
      </c>
    </row>
    <row r="5484" spans="1:5" x14ac:dyDescent="0.3">
      <c r="A5484" s="8">
        <v>720</v>
      </c>
      <c r="B5484" s="8">
        <v>15</v>
      </c>
      <c r="C5484" s="12" t="s">
        <v>53</v>
      </c>
      <c r="D5484" s="8" t="s">
        <v>22</v>
      </c>
      <c r="E5484" s="9">
        <f>3.066-0.554+0.02-0.277-0.222</f>
        <v>2.0329999999999995</v>
      </c>
    </row>
    <row r="5485" spans="1:5" x14ac:dyDescent="0.3">
      <c r="A5485" s="10">
        <v>720</v>
      </c>
      <c r="B5485" s="10">
        <v>16</v>
      </c>
      <c r="C5485" s="10">
        <v>20</v>
      </c>
      <c r="D5485" s="10" t="s">
        <v>1</v>
      </c>
      <c r="E5485" s="15">
        <f>12.23-1.273</f>
        <v>10.957000000000001</v>
      </c>
    </row>
    <row r="5486" spans="1:5" x14ac:dyDescent="0.3">
      <c r="A5486" s="10">
        <v>720</v>
      </c>
      <c r="B5486" s="10">
        <v>16</v>
      </c>
      <c r="C5486" s="10" t="s">
        <v>48</v>
      </c>
      <c r="D5486" s="10" t="s">
        <v>22</v>
      </c>
      <c r="E5486" s="15">
        <f>3.325+0.133-0.136-1.283-0.319-0.296-0.854</f>
        <v>0.57000000000000017</v>
      </c>
    </row>
    <row r="5487" spans="1:5" x14ac:dyDescent="0.3">
      <c r="A5487" s="10">
        <v>720</v>
      </c>
      <c r="B5487" s="10">
        <v>18</v>
      </c>
      <c r="C5487" s="10" t="s">
        <v>190</v>
      </c>
      <c r="D5487" s="10" t="s">
        <v>140</v>
      </c>
      <c r="E5487" s="15">
        <v>0.58099999999999996</v>
      </c>
    </row>
    <row r="5488" spans="1:5" x14ac:dyDescent="0.3">
      <c r="A5488" s="10">
        <v>720</v>
      </c>
      <c r="B5488" s="10">
        <v>19</v>
      </c>
      <c r="C5488" s="10" t="s">
        <v>48</v>
      </c>
      <c r="D5488" s="10" t="s">
        <v>22</v>
      </c>
      <c r="E5488" s="15">
        <f>7.861-0.117-0.676-0.646</f>
        <v>6.4219999999999997</v>
      </c>
    </row>
    <row r="5489" spans="1:5" x14ac:dyDescent="0.3">
      <c r="A5489" s="10">
        <v>720</v>
      </c>
      <c r="B5489" s="10">
        <v>20</v>
      </c>
      <c r="C5489" s="10" t="s">
        <v>26</v>
      </c>
      <c r="D5489" s="10" t="s">
        <v>1</v>
      </c>
      <c r="E5489" s="15">
        <v>12.324999999999999</v>
      </c>
    </row>
    <row r="5490" spans="1:5" x14ac:dyDescent="0.3">
      <c r="A5490" s="8">
        <v>720</v>
      </c>
      <c r="B5490" s="8">
        <v>20</v>
      </c>
      <c r="C5490" s="8" t="s">
        <v>48</v>
      </c>
      <c r="D5490" s="8" t="s">
        <v>22</v>
      </c>
      <c r="E5490" s="9">
        <f>16.021-0.538-0.363-0.133-0.594-0.398-2.258</f>
        <v>11.737000000000002</v>
      </c>
    </row>
    <row r="5491" spans="1:5" x14ac:dyDescent="0.3">
      <c r="A5491" s="10">
        <v>720</v>
      </c>
      <c r="B5491" s="10">
        <v>22</v>
      </c>
      <c r="C5491" s="10" t="s">
        <v>190</v>
      </c>
      <c r="D5491" s="10" t="s">
        <v>140</v>
      </c>
      <c r="E5491" s="15">
        <v>0.83599999999999997</v>
      </c>
    </row>
    <row r="5492" spans="1:5" x14ac:dyDescent="0.3">
      <c r="A5492" s="10">
        <v>720</v>
      </c>
      <c r="B5492" s="10">
        <v>25</v>
      </c>
      <c r="C5492" s="10" t="s">
        <v>26</v>
      </c>
      <c r="D5492" s="10" t="s">
        <v>60</v>
      </c>
      <c r="E5492" s="15">
        <f>10.355-0.452-0.239</f>
        <v>9.6639999999999997</v>
      </c>
    </row>
    <row r="5493" spans="1:5" x14ac:dyDescent="0.3">
      <c r="A5493" s="10">
        <v>720</v>
      </c>
      <c r="B5493" s="10">
        <v>25</v>
      </c>
      <c r="C5493" s="10" t="s">
        <v>26</v>
      </c>
      <c r="D5493" s="10" t="s">
        <v>1</v>
      </c>
      <c r="E5493" s="15">
        <v>13.21</v>
      </c>
    </row>
    <row r="5494" spans="1:5" x14ac:dyDescent="0.3">
      <c r="A5494" s="10">
        <v>720</v>
      </c>
      <c r="B5494" s="10">
        <v>25</v>
      </c>
      <c r="C5494" s="10" t="s">
        <v>96</v>
      </c>
      <c r="D5494" s="10" t="s">
        <v>25</v>
      </c>
      <c r="E5494" s="15">
        <v>5.1719999999999997</v>
      </c>
    </row>
    <row r="5495" spans="1:5" x14ac:dyDescent="0.3">
      <c r="A5495" s="10">
        <v>720</v>
      </c>
      <c r="B5495" s="10">
        <v>25</v>
      </c>
      <c r="C5495" s="10" t="s">
        <v>190</v>
      </c>
      <c r="D5495" s="10" t="s">
        <v>140</v>
      </c>
      <c r="E5495" s="15">
        <v>0.73499999999999999</v>
      </c>
    </row>
    <row r="5496" spans="1:5" x14ac:dyDescent="0.3">
      <c r="A5496" s="10">
        <v>720</v>
      </c>
      <c r="B5496" s="10">
        <v>25</v>
      </c>
      <c r="C5496" s="10" t="s">
        <v>99</v>
      </c>
      <c r="D5496" s="10" t="s">
        <v>25</v>
      </c>
      <c r="E5496" s="15">
        <v>4.5010000000000003</v>
      </c>
    </row>
    <row r="5497" spans="1:5" x14ac:dyDescent="0.3">
      <c r="A5497" s="8">
        <v>720</v>
      </c>
      <c r="B5497" s="8">
        <v>25</v>
      </c>
      <c r="C5497" s="8" t="s">
        <v>47</v>
      </c>
      <c r="D5497" s="8" t="s">
        <v>22</v>
      </c>
      <c r="E5497" s="9">
        <f>5.106+15.592-5.248-0.256-4.854-0.576-0.135-0.715-1.745-0.33</f>
        <v>6.8389999999999995</v>
      </c>
    </row>
    <row r="5498" spans="1:5" x14ac:dyDescent="0.3">
      <c r="A5498" s="10">
        <v>720</v>
      </c>
      <c r="B5498" s="10">
        <v>26</v>
      </c>
      <c r="C5498" s="10" t="s">
        <v>48</v>
      </c>
      <c r="D5498" s="10" t="s">
        <v>25</v>
      </c>
      <c r="E5498" s="15">
        <f>20.515+20.538-0.591-0.388</f>
        <v>40.073999999999998</v>
      </c>
    </row>
    <row r="5499" spans="1:5" x14ac:dyDescent="0.3">
      <c r="A5499" s="10">
        <v>720</v>
      </c>
      <c r="B5499" s="10">
        <v>30</v>
      </c>
      <c r="C5499" s="10" t="s">
        <v>26</v>
      </c>
      <c r="D5499" s="10" t="s">
        <v>22</v>
      </c>
      <c r="E5499" s="15">
        <f>22.232+16.782-0.285-11.033-17.133</f>
        <v>10.562999999999999</v>
      </c>
    </row>
    <row r="5500" spans="1:5" x14ac:dyDescent="0.3">
      <c r="A5500" s="10">
        <v>720</v>
      </c>
      <c r="B5500" s="10">
        <v>30</v>
      </c>
      <c r="C5500" s="10" t="s">
        <v>164</v>
      </c>
      <c r="D5500" s="10" t="s">
        <v>163</v>
      </c>
      <c r="E5500" s="15">
        <v>2.63</v>
      </c>
    </row>
    <row r="5501" spans="1:5" x14ac:dyDescent="0.3">
      <c r="A5501" s="10">
        <v>720</v>
      </c>
      <c r="B5501" s="10">
        <v>34</v>
      </c>
      <c r="C5501" s="10" t="s">
        <v>162</v>
      </c>
      <c r="D5501" s="10" t="s">
        <v>163</v>
      </c>
      <c r="E5501" s="15">
        <v>3.53</v>
      </c>
    </row>
    <row r="5502" spans="1:5" x14ac:dyDescent="0.3">
      <c r="A5502" s="10">
        <v>720</v>
      </c>
      <c r="B5502" s="10">
        <v>36</v>
      </c>
      <c r="C5502" s="10" t="s">
        <v>26</v>
      </c>
      <c r="D5502" s="10" t="s">
        <v>1</v>
      </c>
      <c r="E5502" s="15">
        <f>5.61+10.52+10.015-3.117</f>
        <v>23.027999999999999</v>
      </c>
    </row>
    <row r="5503" spans="1:5" x14ac:dyDescent="0.3">
      <c r="A5503" s="10">
        <v>720</v>
      </c>
      <c r="B5503" s="10">
        <v>40</v>
      </c>
      <c r="C5503" s="10" t="s">
        <v>26</v>
      </c>
      <c r="D5503" s="10" t="s">
        <v>1</v>
      </c>
      <c r="E5503" s="15">
        <f>4.77+9.43</f>
        <v>14.2</v>
      </c>
    </row>
    <row r="5504" spans="1:5" x14ac:dyDescent="0.3">
      <c r="A5504" s="10">
        <v>720</v>
      </c>
      <c r="B5504" s="10">
        <v>50</v>
      </c>
      <c r="C5504" s="10">
        <v>20</v>
      </c>
      <c r="D5504" s="10" t="s">
        <v>1</v>
      </c>
      <c r="E5504" s="15">
        <f>6.77-1.031</f>
        <v>5.7389999999999999</v>
      </c>
    </row>
    <row r="5505" spans="1:5" x14ac:dyDescent="0.3">
      <c r="A5505" s="10">
        <v>720</v>
      </c>
      <c r="B5505" s="10">
        <v>50</v>
      </c>
      <c r="C5505" s="10" t="s">
        <v>26</v>
      </c>
      <c r="D5505" s="10" t="s">
        <v>1</v>
      </c>
      <c r="E5505" s="15">
        <f>6.545+6.62-0.882</f>
        <v>12.282999999999999</v>
      </c>
    </row>
    <row r="5506" spans="1:5" x14ac:dyDescent="0.3">
      <c r="A5506" s="10">
        <v>720</v>
      </c>
      <c r="B5506" s="10">
        <v>60</v>
      </c>
      <c r="C5506" s="10" t="s">
        <v>26</v>
      </c>
      <c r="D5506" s="10" t="s">
        <v>1</v>
      </c>
      <c r="E5506" s="15">
        <v>13.185</v>
      </c>
    </row>
    <row r="5507" spans="1:5" x14ac:dyDescent="0.3">
      <c r="A5507" s="10">
        <v>720</v>
      </c>
      <c r="B5507" s="10">
        <v>80</v>
      </c>
      <c r="C5507" s="10" t="s">
        <v>26</v>
      </c>
      <c r="D5507" s="10" t="s">
        <v>1</v>
      </c>
      <c r="E5507" s="15">
        <v>7.7149999999999999</v>
      </c>
    </row>
    <row r="5508" spans="1:5" x14ac:dyDescent="0.3">
      <c r="A5508" s="10">
        <v>720</v>
      </c>
      <c r="B5508" s="10">
        <v>100</v>
      </c>
      <c r="C5508" s="10" t="s">
        <v>26</v>
      </c>
      <c r="D5508" s="10" t="s">
        <v>1</v>
      </c>
      <c r="E5508" s="15">
        <f>10.3-2.615</f>
        <v>7.6850000000000005</v>
      </c>
    </row>
    <row r="5509" spans="1:5" x14ac:dyDescent="0.3">
      <c r="A5509" s="10">
        <v>762</v>
      </c>
      <c r="B5509" s="10">
        <v>16</v>
      </c>
      <c r="C5509" s="10" t="s">
        <v>47</v>
      </c>
      <c r="D5509" s="10" t="s">
        <v>22</v>
      </c>
      <c r="E5509" s="15">
        <f>5.268-0.257-0.072</f>
        <v>4.9390000000000001</v>
      </c>
    </row>
    <row r="5510" spans="1:5" x14ac:dyDescent="0.3">
      <c r="A5510" s="10">
        <v>762</v>
      </c>
      <c r="B5510" s="10">
        <v>19.5</v>
      </c>
      <c r="C5510" s="10" t="s">
        <v>102</v>
      </c>
      <c r="D5510" s="10" t="s">
        <v>25</v>
      </c>
      <c r="E5510" s="15">
        <v>3.4529999999999998</v>
      </c>
    </row>
    <row r="5511" spans="1:5" x14ac:dyDescent="0.3">
      <c r="A5511" s="10">
        <v>762</v>
      </c>
      <c r="B5511" s="10">
        <v>25</v>
      </c>
      <c r="C5511" s="10" t="s">
        <v>21</v>
      </c>
      <c r="D5511" s="10" t="s">
        <v>25</v>
      </c>
      <c r="E5511" s="15">
        <f>16.69-1.398</f>
        <v>15.292000000000002</v>
      </c>
    </row>
    <row r="5512" spans="1:5" x14ac:dyDescent="0.3">
      <c r="A5512" s="8">
        <v>762</v>
      </c>
      <c r="B5512" s="8">
        <v>100</v>
      </c>
      <c r="C5512" s="8">
        <v>20</v>
      </c>
      <c r="D5512" s="8" t="s">
        <v>1</v>
      </c>
      <c r="E5512" s="9">
        <v>9.9760000000000009</v>
      </c>
    </row>
    <row r="5513" spans="1:5" x14ac:dyDescent="0.3">
      <c r="A5513" s="10">
        <v>800.1</v>
      </c>
      <c r="B5513" s="10">
        <v>19.05</v>
      </c>
      <c r="C5513" s="10" t="s">
        <v>21</v>
      </c>
      <c r="D5513" s="10" t="s">
        <v>25</v>
      </c>
      <c r="E5513" s="15">
        <f>4.629-0.201</f>
        <v>4.4279999999999999</v>
      </c>
    </row>
    <row r="5514" spans="1:5" x14ac:dyDescent="0.3">
      <c r="A5514" s="10">
        <v>812.8</v>
      </c>
      <c r="B5514" s="10">
        <v>19.05</v>
      </c>
      <c r="C5514" s="10" t="s">
        <v>87</v>
      </c>
      <c r="D5514" s="10" t="s">
        <v>25</v>
      </c>
      <c r="E5514" s="15">
        <v>4.0599999999999996</v>
      </c>
    </row>
    <row r="5515" spans="1:5" x14ac:dyDescent="0.3">
      <c r="A5515" s="8">
        <v>813</v>
      </c>
      <c r="B5515" s="8">
        <v>25.4</v>
      </c>
      <c r="C5515" s="8" t="s">
        <v>47</v>
      </c>
      <c r="D5515" s="8" t="s">
        <v>25</v>
      </c>
      <c r="E5515" s="15">
        <v>4.6139999999999999</v>
      </c>
    </row>
    <row r="5516" spans="1:5" x14ac:dyDescent="0.3">
      <c r="A5516" s="8">
        <v>813</v>
      </c>
      <c r="B5516" s="8">
        <v>28.6</v>
      </c>
      <c r="C5516" s="8" t="s">
        <v>48</v>
      </c>
      <c r="D5516" s="8" t="s">
        <v>25</v>
      </c>
      <c r="E5516" s="9">
        <v>5.9450000000000003</v>
      </c>
    </row>
    <row r="5517" spans="1:5" x14ac:dyDescent="0.3">
      <c r="A5517" s="10">
        <v>813</v>
      </c>
      <c r="B5517" s="10">
        <v>30.2</v>
      </c>
      <c r="C5517" s="10" t="s">
        <v>21</v>
      </c>
      <c r="D5517" s="10" t="s">
        <v>25</v>
      </c>
      <c r="E5517" s="15">
        <v>5.181</v>
      </c>
    </row>
    <row r="5518" spans="1:5" x14ac:dyDescent="0.3">
      <c r="A5518" s="10">
        <v>812.8</v>
      </c>
      <c r="B5518" s="10">
        <v>39</v>
      </c>
      <c r="C5518" s="10" t="s">
        <v>21</v>
      </c>
      <c r="D5518" s="10" t="s">
        <v>25</v>
      </c>
      <c r="E5518" s="15">
        <f>5.788-2.997</f>
        <v>2.7910000000000004</v>
      </c>
    </row>
    <row r="5519" spans="1:5" x14ac:dyDescent="0.3">
      <c r="A5519" s="10">
        <v>820</v>
      </c>
      <c r="B5519" s="10">
        <v>9</v>
      </c>
      <c r="C5519" s="10" t="s">
        <v>98</v>
      </c>
      <c r="D5519" s="10" t="s">
        <v>22</v>
      </c>
      <c r="E5519" s="15">
        <f>6.351-0.128-0.772-1.242-0.737-0.141-0.192-0.992-0.648-0.188</f>
        <v>1.3109999999999993</v>
      </c>
    </row>
    <row r="5520" spans="1:5" x14ac:dyDescent="0.3">
      <c r="A5520" s="10">
        <v>820</v>
      </c>
      <c r="B5520" s="10">
        <v>10</v>
      </c>
      <c r="C5520" s="10" t="s">
        <v>98</v>
      </c>
      <c r="D5520" s="10" t="s">
        <v>22</v>
      </c>
      <c r="E5520" s="15">
        <f>4.712-2.362-0.821-0.057</f>
        <v>1.4719999999999998</v>
      </c>
    </row>
    <row r="5521" spans="1:5" x14ac:dyDescent="0.3">
      <c r="A5521" s="10">
        <v>820</v>
      </c>
      <c r="B5521" s="10">
        <v>10</v>
      </c>
      <c r="C5521" s="10" t="s">
        <v>48</v>
      </c>
      <c r="D5521" s="10" t="s">
        <v>22</v>
      </c>
      <c r="E5521" s="15">
        <f>9.686-0.72-0.11-2.434-0.619-0.047-0.615-0.984-0.325-0.516-0.416-0.153-0.315-0.067</f>
        <v>2.3649999999999998</v>
      </c>
    </row>
    <row r="5522" spans="1:5" x14ac:dyDescent="0.3">
      <c r="A5522" s="10">
        <v>820</v>
      </c>
      <c r="B5522" s="10">
        <v>10</v>
      </c>
      <c r="C5522" s="10" t="s">
        <v>48</v>
      </c>
      <c r="D5522" s="10" t="s">
        <v>25</v>
      </c>
      <c r="E5522" s="15">
        <f>2.441-0.416-0.518-0.518</f>
        <v>0.98899999999999988</v>
      </c>
    </row>
    <row r="5523" spans="1:5" x14ac:dyDescent="0.3">
      <c r="A5523" s="8">
        <v>820</v>
      </c>
      <c r="B5523" s="8">
        <v>11</v>
      </c>
      <c r="C5523" s="8" t="s">
        <v>47</v>
      </c>
      <c r="D5523" s="10" t="s">
        <v>22</v>
      </c>
      <c r="E5523" s="9">
        <f>2.524+1.353-0.111</f>
        <v>3.7659999999999996</v>
      </c>
    </row>
    <row r="5524" spans="1:5" x14ac:dyDescent="0.3">
      <c r="A5524" s="10">
        <v>820</v>
      </c>
      <c r="B5524" s="10">
        <v>12</v>
      </c>
      <c r="C5524" s="10" t="s">
        <v>98</v>
      </c>
      <c r="D5524" s="10" t="s">
        <v>22</v>
      </c>
      <c r="E5524" s="15">
        <f>5.637-1.226-0.146-1.104-0.134-0.256-0.498-0.309</f>
        <v>1.9639999999999997</v>
      </c>
    </row>
    <row r="5525" spans="1:5" x14ac:dyDescent="0.3">
      <c r="A5525" s="10">
        <v>820</v>
      </c>
      <c r="B5525" s="10">
        <v>14</v>
      </c>
      <c r="C5525" s="10" t="s">
        <v>53</v>
      </c>
      <c r="D5525" s="10" t="s">
        <v>22</v>
      </c>
      <c r="E5525" s="15">
        <f>3.277-1.29-1.072-0.578</f>
        <v>0.33700000000000008</v>
      </c>
    </row>
    <row r="5526" spans="1:5" x14ac:dyDescent="0.3">
      <c r="A5526" s="10">
        <v>820</v>
      </c>
      <c r="B5526" s="10">
        <v>15</v>
      </c>
      <c r="C5526" s="10" t="s">
        <v>99</v>
      </c>
      <c r="D5526" s="10" t="s">
        <v>25</v>
      </c>
      <c r="E5526" s="15">
        <f>3.107-0.253-0.407-0.497-0.62</f>
        <v>1.33</v>
      </c>
    </row>
    <row r="5527" spans="1:5" x14ac:dyDescent="0.3">
      <c r="A5527" s="10">
        <v>820</v>
      </c>
      <c r="B5527" s="10">
        <v>16</v>
      </c>
      <c r="C5527" s="10" t="s">
        <v>26</v>
      </c>
      <c r="D5527" s="10" t="s">
        <v>22</v>
      </c>
      <c r="E5527" s="15">
        <f>11.465+7.617-0.338-0.177-0.499-0.689-0.21-0.338-0.242-0.181-0.982-0.335-0.982-0.531-0.235-0.499-0.174-0.274-3.842</f>
        <v>8.5539999999999967</v>
      </c>
    </row>
    <row r="5528" spans="1:5" x14ac:dyDescent="0.3">
      <c r="A5528" s="10">
        <v>820</v>
      </c>
      <c r="B5528" s="10">
        <v>16</v>
      </c>
      <c r="C5528" s="10" t="s">
        <v>194</v>
      </c>
      <c r="D5528" s="10" t="s">
        <v>195</v>
      </c>
      <c r="E5528" s="15">
        <v>3.5049999999999999</v>
      </c>
    </row>
    <row r="5529" spans="1:5" x14ac:dyDescent="0.3">
      <c r="A5529" s="10">
        <v>820</v>
      </c>
      <c r="B5529" s="10">
        <v>17</v>
      </c>
      <c r="C5529" s="10" t="s">
        <v>48</v>
      </c>
      <c r="D5529" s="10" t="s">
        <v>22</v>
      </c>
      <c r="E5529" s="15">
        <f>4.005-1.04-0.764</f>
        <v>2.2009999999999996</v>
      </c>
    </row>
    <row r="5530" spans="1:5" x14ac:dyDescent="0.3">
      <c r="A5530" s="10">
        <v>820</v>
      </c>
      <c r="B5530" s="10">
        <v>19</v>
      </c>
      <c r="C5530" s="10" t="s">
        <v>87</v>
      </c>
      <c r="D5530" s="10" t="s">
        <v>141</v>
      </c>
      <c r="E5530" s="15">
        <f>2.194-0.107</f>
        <v>2.0869999999999997</v>
      </c>
    </row>
    <row r="5531" spans="1:5" x14ac:dyDescent="0.3">
      <c r="A5531" s="10">
        <v>820</v>
      </c>
      <c r="B5531" s="10">
        <v>20</v>
      </c>
      <c r="C5531" s="10" t="s">
        <v>48</v>
      </c>
      <c r="D5531" s="10" t="s">
        <v>22</v>
      </c>
      <c r="E5531" s="15">
        <f>4.707-0.476-1.216-1.6+4.679-1.432-3.024-0.296</f>
        <v>1.341999999999999</v>
      </c>
    </row>
    <row r="5532" spans="1:5" x14ac:dyDescent="0.3">
      <c r="A5532" s="10">
        <v>820</v>
      </c>
      <c r="B5532" s="10">
        <v>22</v>
      </c>
      <c r="C5532" s="10" t="s">
        <v>99</v>
      </c>
      <c r="D5532" s="10" t="s">
        <v>25</v>
      </c>
      <c r="E5532" s="15">
        <v>14.993</v>
      </c>
    </row>
    <row r="5533" spans="1:5" x14ac:dyDescent="0.3">
      <c r="A5533" s="8">
        <v>820</v>
      </c>
      <c r="B5533" s="8">
        <v>22</v>
      </c>
      <c r="C5533" s="8" t="s">
        <v>47</v>
      </c>
      <c r="D5533" s="8" t="s">
        <v>22</v>
      </c>
      <c r="E5533" s="9">
        <f>10.306+5.142-5.164-1.339-5.16-0.382</f>
        <v>3.403</v>
      </c>
    </row>
    <row r="5534" spans="1:5" x14ac:dyDescent="0.3">
      <c r="A5534" s="10">
        <v>820</v>
      </c>
      <c r="B5534" s="10">
        <v>22</v>
      </c>
      <c r="C5534" s="10" t="s">
        <v>162</v>
      </c>
      <c r="D5534" s="10" t="s">
        <v>163</v>
      </c>
      <c r="E5534" s="15">
        <v>2.6160000000000001</v>
      </c>
    </row>
    <row r="5535" spans="1:5" x14ac:dyDescent="0.3">
      <c r="A5535" s="8">
        <v>820</v>
      </c>
      <c r="B5535" s="8">
        <v>26</v>
      </c>
      <c r="C5535" s="8" t="s">
        <v>47</v>
      </c>
      <c r="D5535" s="8" t="s">
        <v>22</v>
      </c>
      <c r="E5535" s="9">
        <f>17.08-2.595-5.64-0.979-3.954-1.246</f>
        <v>2.6659999999999986</v>
      </c>
    </row>
    <row r="5536" spans="1:5" x14ac:dyDescent="0.3">
      <c r="A5536" s="10">
        <v>820</v>
      </c>
      <c r="B5536" s="10">
        <v>38.700000000000003</v>
      </c>
      <c r="C5536" s="10" t="s">
        <v>87</v>
      </c>
      <c r="D5536" s="10" t="s">
        <v>25</v>
      </c>
      <c r="E5536" s="15">
        <f>18.194-9.097+17.381-4.553-8.683-1.395</f>
        <v>11.847000000000001</v>
      </c>
    </row>
    <row r="5537" spans="1:5" x14ac:dyDescent="0.3">
      <c r="A5537" s="10">
        <v>830</v>
      </c>
      <c r="B5537" s="10">
        <v>36</v>
      </c>
      <c r="C5537" s="10" t="s">
        <v>26</v>
      </c>
      <c r="D5537" s="10" t="s">
        <v>22</v>
      </c>
      <c r="E5537" s="15">
        <f>34.641+2.253-17.342-0.749-1.506+0.749-1.447-3.08-4.135-2.673-0.742-0.25-0.492</f>
        <v>5.2270000000000003</v>
      </c>
    </row>
    <row r="5538" spans="1:5" x14ac:dyDescent="0.3">
      <c r="A5538" s="10">
        <v>900</v>
      </c>
      <c r="B5538" s="10">
        <v>110</v>
      </c>
      <c r="C5538" s="10" t="s">
        <v>21</v>
      </c>
      <c r="D5538" s="10" t="s">
        <v>1</v>
      </c>
      <c r="E5538" s="15">
        <v>0.71</v>
      </c>
    </row>
    <row r="5539" spans="1:5" x14ac:dyDescent="0.3">
      <c r="A5539" s="10">
        <v>914</v>
      </c>
      <c r="B5539" s="10">
        <v>16</v>
      </c>
      <c r="C5539" s="10" t="s">
        <v>21</v>
      </c>
      <c r="D5539" s="10" t="s">
        <v>25</v>
      </c>
      <c r="E5539" s="15">
        <v>9.2650000000000006</v>
      </c>
    </row>
    <row r="5540" spans="1:5" x14ac:dyDescent="0.3">
      <c r="A5540" s="10">
        <v>914</v>
      </c>
      <c r="B5540" s="10">
        <v>25</v>
      </c>
      <c r="C5540" s="10" t="s">
        <v>21</v>
      </c>
      <c r="D5540" s="10" t="s">
        <v>25</v>
      </c>
      <c r="E5540" s="15">
        <f>6.792-3.368</f>
        <v>3.4239999999999999</v>
      </c>
    </row>
    <row r="5541" spans="1:5" x14ac:dyDescent="0.3">
      <c r="A5541" s="10">
        <v>920</v>
      </c>
      <c r="B5541" s="10">
        <v>22</v>
      </c>
      <c r="C5541" s="10" t="s">
        <v>170</v>
      </c>
      <c r="D5541" s="10" t="s">
        <v>25</v>
      </c>
      <c r="E5541" s="15">
        <v>5.9930000000000003</v>
      </c>
    </row>
    <row r="5542" spans="1:5" x14ac:dyDescent="0.3">
      <c r="A5542" s="10">
        <v>920</v>
      </c>
      <c r="B5542" s="10">
        <v>25</v>
      </c>
      <c r="C5542" s="10" t="s">
        <v>99</v>
      </c>
      <c r="D5542" s="10" t="s">
        <v>25</v>
      </c>
      <c r="E5542" s="15">
        <f>5.767-0.392-1.722-0.241-0.542</f>
        <v>2.87</v>
      </c>
    </row>
    <row r="5543" spans="1:5" x14ac:dyDescent="0.3">
      <c r="A5543" s="10">
        <v>920</v>
      </c>
      <c r="B5543" s="10">
        <v>30</v>
      </c>
      <c r="C5543" s="10" t="s">
        <v>99</v>
      </c>
      <c r="D5543" s="10" t="s">
        <v>25</v>
      </c>
      <c r="E5543" s="15">
        <v>16.073</v>
      </c>
    </row>
    <row r="5544" spans="1:5" x14ac:dyDescent="0.3">
      <c r="A5544" s="10">
        <v>920</v>
      </c>
      <c r="B5544" s="10">
        <v>36</v>
      </c>
      <c r="C5544" s="10" t="s">
        <v>26</v>
      </c>
      <c r="D5544" s="10" t="s">
        <v>22</v>
      </c>
      <c r="E5544" s="15">
        <f>19.346+23.667-3.215-1.886-2.26-6.383-1.664</f>
        <v>27.605</v>
      </c>
    </row>
    <row r="5545" spans="1:5" x14ac:dyDescent="0.3">
      <c r="A5545" s="10">
        <v>920</v>
      </c>
      <c r="B5545" s="10">
        <v>40</v>
      </c>
      <c r="C5545" s="10" t="s">
        <v>99</v>
      </c>
      <c r="D5545" s="10" t="s">
        <v>25</v>
      </c>
      <c r="E5545" s="15">
        <v>21.12</v>
      </c>
    </row>
    <row r="5546" spans="1:5" x14ac:dyDescent="0.3">
      <c r="A5546" s="10">
        <v>1020</v>
      </c>
      <c r="B5546" s="10">
        <v>8</v>
      </c>
      <c r="C5546" s="10">
        <v>20</v>
      </c>
      <c r="D5546" s="10" t="s">
        <v>60</v>
      </c>
      <c r="E5546" s="15">
        <f>4.816-0.313-0.069</f>
        <v>4.4340000000000002</v>
      </c>
    </row>
    <row r="5547" spans="1:5" x14ac:dyDescent="0.3">
      <c r="A5547" s="8">
        <v>1020</v>
      </c>
      <c r="B5547" s="8">
        <v>10</v>
      </c>
      <c r="C5547" s="8" t="s">
        <v>58</v>
      </c>
      <c r="D5547" s="8" t="s">
        <v>25</v>
      </c>
      <c r="E5547" s="15">
        <f>2.97+1.371-0.343-0.56-0.517-1.019-0.472-0.267-0.267-0.52</f>
        <v>0.37600000000000022</v>
      </c>
    </row>
    <row r="5548" spans="1:5" x14ac:dyDescent="0.3">
      <c r="A5548" s="10">
        <v>1020</v>
      </c>
      <c r="B5548" s="10">
        <v>10</v>
      </c>
      <c r="C5548" s="10" t="s">
        <v>26</v>
      </c>
      <c r="D5548" s="10" t="s">
        <v>25</v>
      </c>
      <c r="E5548" s="15">
        <f>12.13+3.034-0.271-0.346-0.779-0.361-0.529-0.73-0.116-1.044</f>
        <v>10.988</v>
      </c>
    </row>
    <row r="5549" spans="1:5" x14ac:dyDescent="0.3">
      <c r="A5549" s="10">
        <v>1020</v>
      </c>
      <c r="B5549" s="10">
        <v>10</v>
      </c>
      <c r="C5549" s="10" t="s">
        <v>53</v>
      </c>
      <c r="D5549" s="10" t="s">
        <v>22</v>
      </c>
      <c r="E5549" s="15">
        <f>2.967+1.693-0.264</f>
        <v>4.3959999999999999</v>
      </c>
    </row>
    <row r="5550" spans="1:5" x14ac:dyDescent="0.3">
      <c r="A5550" s="10">
        <v>1020</v>
      </c>
      <c r="B5550" s="10">
        <v>10</v>
      </c>
      <c r="C5550" s="10" t="s">
        <v>87</v>
      </c>
      <c r="D5550" s="10" t="s">
        <v>25</v>
      </c>
      <c r="E5550" s="15">
        <v>6.01</v>
      </c>
    </row>
    <row r="5551" spans="1:5" x14ac:dyDescent="0.3">
      <c r="A5551" s="10">
        <v>1020</v>
      </c>
      <c r="B5551" s="10">
        <v>12</v>
      </c>
      <c r="C5551" s="10" t="s">
        <v>73</v>
      </c>
      <c r="D5551" s="10" t="s">
        <v>25</v>
      </c>
      <c r="E5551" s="15">
        <f>2.968-0.698</f>
        <v>2.27</v>
      </c>
    </row>
    <row r="5552" spans="1:5" x14ac:dyDescent="0.3">
      <c r="A5552" s="10">
        <v>1020</v>
      </c>
      <c r="B5552" s="10">
        <v>12</v>
      </c>
      <c r="C5552" s="10" t="s">
        <v>87</v>
      </c>
      <c r="D5552" s="10" t="s">
        <v>25</v>
      </c>
      <c r="E5552" s="15">
        <f>2.534+0.046-0.119-0.47</f>
        <v>1.9909999999999994</v>
      </c>
    </row>
    <row r="5553" spans="1:5" x14ac:dyDescent="0.3">
      <c r="A5553" s="8">
        <v>1020</v>
      </c>
      <c r="B5553" s="8">
        <v>14</v>
      </c>
      <c r="C5553" s="8" t="s">
        <v>98</v>
      </c>
      <c r="D5553" s="8" t="s">
        <v>25</v>
      </c>
      <c r="E5553" s="9">
        <f>4.107-0.23-0.932-0.371-0.487-1.076-0.135</f>
        <v>0.87600000000000011</v>
      </c>
    </row>
    <row r="5554" spans="1:5" x14ac:dyDescent="0.3">
      <c r="A5554" s="10">
        <v>1020</v>
      </c>
      <c r="B5554" s="10">
        <v>14</v>
      </c>
      <c r="C5554" s="10" t="s">
        <v>47</v>
      </c>
      <c r="D5554" s="10" t="s">
        <v>22</v>
      </c>
      <c r="E5554" s="15">
        <f>4.121-0.195</f>
        <v>3.9260000000000006</v>
      </c>
    </row>
    <row r="5555" spans="1:5" x14ac:dyDescent="0.3">
      <c r="A5555" s="10">
        <v>1020</v>
      </c>
      <c r="B5555" s="10">
        <v>16</v>
      </c>
      <c r="C5555" s="10" t="s">
        <v>26</v>
      </c>
      <c r="D5555" s="10" t="s">
        <v>22</v>
      </c>
      <c r="E5555" s="15">
        <f>4.58-0.222-0.307-0.943-0.423-0.383-0.246-0.101</f>
        <v>1.9549999999999992</v>
      </c>
    </row>
    <row r="5556" spans="1:5" x14ac:dyDescent="0.3">
      <c r="A5556" s="10">
        <v>1020</v>
      </c>
      <c r="B5556" s="10">
        <v>16</v>
      </c>
      <c r="C5556" s="10" t="s">
        <v>73</v>
      </c>
      <c r="D5556" s="10" t="s">
        <v>126</v>
      </c>
      <c r="E5556" s="15">
        <f>4.14+0.333-1.275-0.167-0.003-2.119-0.751</f>
        <v>0.15799999999999981</v>
      </c>
    </row>
    <row r="5557" spans="1:5" x14ac:dyDescent="0.3">
      <c r="A5557" s="10">
        <v>1020</v>
      </c>
      <c r="B5557" s="10">
        <v>18</v>
      </c>
      <c r="C5557" s="10" t="s">
        <v>26</v>
      </c>
      <c r="D5557" s="10" t="s">
        <v>22</v>
      </c>
      <c r="E5557" s="15">
        <f>10.415-0.295-0.929</f>
        <v>9.1909999999999989</v>
      </c>
    </row>
    <row r="5558" spans="1:5" x14ac:dyDescent="0.3">
      <c r="A5558" s="8">
        <v>1020</v>
      </c>
      <c r="B5558" s="8">
        <v>21.5</v>
      </c>
      <c r="C5558" s="8" t="s">
        <v>87</v>
      </c>
      <c r="D5558" s="8" t="s">
        <v>25</v>
      </c>
      <c r="E5558" s="9">
        <v>6.4379999999999997</v>
      </c>
    </row>
    <row r="5559" spans="1:5" x14ac:dyDescent="0.3">
      <c r="A5559" s="8">
        <v>1020</v>
      </c>
      <c r="B5559" s="8">
        <v>21.5</v>
      </c>
      <c r="C5559" s="8" t="s">
        <v>47</v>
      </c>
      <c r="D5559" s="8" t="s">
        <v>25</v>
      </c>
      <c r="E5559" s="9">
        <v>6.4480000000000004</v>
      </c>
    </row>
    <row r="5560" spans="1:5" x14ac:dyDescent="0.3">
      <c r="A5560" s="10">
        <v>1020</v>
      </c>
      <c r="B5560" s="10">
        <v>22</v>
      </c>
      <c r="C5560" s="10" t="s">
        <v>48</v>
      </c>
      <c r="D5560" s="10" t="s">
        <v>22</v>
      </c>
      <c r="E5560" s="15">
        <f>6.216+12.678-6.216</f>
        <v>12.678000000000001</v>
      </c>
    </row>
    <row r="5561" spans="1:5" x14ac:dyDescent="0.3">
      <c r="A5561" s="8">
        <v>1020</v>
      </c>
      <c r="B5561" s="8">
        <v>22</v>
      </c>
      <c r="C5561" s="8" t="s">
        <v>47</v>
      </c>
      <c r="D5561" s="8" t="s">
        <v>22</v>
      </c>
      <c r="E5561" s="9">
        <f>18.608-0.579-5.354-6.303-0.298</f>
        <v>6.0740000000000007</v>
      </c>
    </row>
    <row r="5562" spans="1:5" x14ac:dyDescent="0.3">
      <c r="A5562" s="10">
        <v>1020</v>
      </c>
      <c r="B5562" s="10">
        <v>24</v>
      </c>
      <c r="C5562" s="10" t="s">
        <v>73</v>
      </c>
      <c r="D5562" s="10" t="s">
        <v>25</v>
      </c>
      <c r="E5562" s="15">
        <f>6.686-1.313</f>
        <v>5.3730000000000002</v>
      </c>
    </row>
    <row r="5563" spans="1:5" x14ac:dyDescent="0.3">
      <c r="A5563" s="10">
        <v>1020</v>
      </c>
      <c r="B5563" s="10">
        <v>24</v>
      </c>
      <c r="C5563" s="10" t="s">
        <v>26</v>
      </c>
      <c r="D5563" s="10" t="s">
        <v>25</v>
      </c>
      <c r="E5563" s="15">
        <v>6.2690000000000001</v>
      </c>
    </row>
    <row r="5564" spans="1:5" x14ac:dyDescent="0.3">
      <c r="A5564" s="10">
        <v>1020</v>
      </c>
      <c r="B5564" s="10">
        <v>24</v>
      </c>
      <c r="C5564" s="10" t="s">
        <v>48</v>
      </c>
      <c r="D5564" s="10" t="s">
        <v>25</v>
      </c>
      <c r="E5564" s="15">
        <v>6.9960000000000004</v>
      </c>
    </row>
    <row r="5565" spans="1:5" x14ac:dyDescent="0.3">
      <c r="A5565" s="10">
        <v>1020</v>
      </c>
      <c r="B5565" s="10">
        <v>26</v>
      </c>
      <c r="C5565" s="10" t="s">
        <v>73</v>
      </c>
      <c r="D5565" s="10" t="s">
        <v>171</v>
      </c>
      <c r="E5565" s="15">
        <f>7.288-0.175</f>
        <v>7.1130000000000004</v>
      </c>
    </row>
    <row r="5566" spans="1:5" x14ac:dyDescent="0.3">
      <c r="A5566" s="8">
        <v>1020</v>
      </c>
      <c r="B5566" s="8">
        <v>27.3</v>
      </c>
      <c r="C5566" s="8" t="s">
        <v>87</v>
      </c>
      <c r="D5566" s="8" t="s">
        <v>25</v>
      </c>
      <c r="E5566" s="9">
        <f>6.345-2.406</f>
        <v>3.9389999999999996</v>
      </c>
    </row>
    <row r="5567" spans="1:5" x14ac:dyDescent="0.3">
      <c r="A5567" s="8">
        <v>1020</v>
      </c>
      <c r="B5567" s="8">
        <v>29</v>
      </c>
      <c r="C5567" s="8" t="s">
        <v>102</v>
      </c>
      <c r="D5567" s="8" t="s">
        <v>25</v>
      </c>
      <c r="E5567" s="9">
        <v>7.96</v>
      </c>
    </row>
    <row r="5568" spans="1:5" x14ac:dyDescent="0.3">
      <c r="A5568" s="10">
        <v>1020</v>
      </c>
      <c r="B5568" s="10">
        <v>32</v>
      </c>
      <c r="C5568" s="10" t="s">
        <v>87</v>
      </c>
      <c r="D5568" s="10" t="s">
        <v>25</v>
      </c>
      <c r="E5568" s="15">
        <f>7.969-0.899</f>
        <v>7.07</v>
      </c>
    </row>
    <row r="5569" spans="1:5" x14ac:dyDescent="0.3">
      <c r="A5569" s="10">
        <v>1020</v>
      </c>
      <c r="B5569" s="10">
        <v>40</v>
      </c>
      <c r="C5569" s="10" t="s">
        <v>26</v>
      </c>
      <c r="D5569" s="10" t="s">
        <v>22</v>
      </c>
      <c r="E5569" s="15">
        <f>23.741+18.451-23.741-1.467-3.657-2.992-0.196-1.8</f>
        <v>8.3390000000000004</v>
      </c>
    </row>
    <row r="5570" spans="1:5" x14ac:dyDescent="0.3">
      <c r="A5570" s="10">
        <v>1067</v>
      </c>
      <c r="B5570" s="10">
        <v>14</v>
      </c>
      <c r="C5570" s="10" t="s">
        <v>87</v>
      </c>
      <c r="D5570" s="10" t="s">
        <v>25</v>
      </c>
      <c r="E5570" s="15">
        <v>4.2670000000000003</v>
      </c>
    </row>
    <row r="5571" spans="1:5" x14ac:dyDescent="0.3">
      <c r="A5571" s="10">
        <v>1067</v>
      </c>
      <c r="B5571" s="10">
        <v>17</v>
      </c>
      <c r="C5571" s="10" t="s">
        <v>87</v>
      </c>
      <c r="D5571" s="10" t="s">
        <v>25</v>
      </c>
      <c r="E5571" s="15">
        <v>5.3570000000000002</v>
      </c>
    </row>
    <row r="5572" spans="1:5" x14ac:dyDescent="0.3">
      <c r="A5572" s="10">
        <v>1100</v>
      </c>
      <c r="B5572" s="10">
        <v>230</v>
      </c>
      <c r="C5572" s="10" t="s">
        <v>21</v>
      </c>
      <c r="D5572" s="10" t="s">
        <v>1</v>
      </c>
      <c r="E5572" s="15">
        <v>3.32</v>
      </c>
    </row>
    <row r="5573" spans="1:5" x14ac:dyDescent="0.3">
      <c r="A5573" s="10">
        <v>1220</v>
      </c>
      <c r="B5573" s="10">
        <v>10</v>
      </c>
      <c r="C5573" s="10" t="s">
        <v>34</v>
      </c>
      <c r="D5573" s="10" t="s">
        <v>25</v>
      </c>
      <c r="E5573" s="15">
        <f>3.635-0.954-0.772</f>
        <v>1.909</v>
      </c>
    </row>
    <row r="5574" spans="1:5" x14ac:dyDescent="0.3">
      <c r="A5574" s="10">
        <v>1220</v>
      </c>
      <c r="B5574" s="10">
        <v>12</v>
      </c>
      <c r="C5574" s="10" t="s">
        <v>26</v>
      </c>
      <c r="D5574" s="10" t="s">
        <v>25</v>
      </c>
      <c r="E5574" s="15">
        <f>4.712-0.753-0.342-1.745-0.753-0.68</f>
        <v>0.43899999999999928</v>
      </c>
    </row>
    <row r="5575" spans="1:5" x14ac:dyDescent="0.3">
      <c r="A5575" s="10">
        <v>1220</v>
      </c>
      <c r="B5575" s="10">
        <v>12</v>
      </c>
      <c r="C5575" s="10" t="s">
        <v>52</v>
      </c>
      <c r="D5575" s="10" t="s">
        <v>22</v>
      </c>
      <c r="E5575" s="15">
        <f>4.078-2.923</f>
        <v>1.1550000000000002</v>
      </c>
    </row>
    <row r="5576" spans="1:5" x14ac:dyDescent="0.3">
      <c r="A5576" s="10">
        <v>1220</v>
      </c>
      <c r="B5576" s="10">
        <v>12.5</v>
      </c>
      <c r="C5576" s="10" t="s">
        <v>94</v>
      </c>
      <c r="D5576" s="10" t="s">
        <v>25</v>
      </c>
      <c r="E5576" s="15">
        <v>4.4660000000000002</v>
      </c>
    </row>
    <row r="5577" spans="1:5" x14ac:dyDescent="0.3">
      <c r="A5577" s="10">
        <v>1220</v>
      </c>
      <c r="B5577" s="10">
        <v>14</v>
      </c>
      <c r="C5577" s="10" t="s">
        <v>58</v>
      </c>
      <c r="D5577" s="10" t="s">
        <v>25</v>
      </c>
      <c r="E5577" s="15">
        <f>1.155+0.271-1.155</f>
        <v>0.27100000000000013</v>
      </c>
    </row>
    <row r="5578" spans="1:5" x14ac:dyDescent="0.3">
      <c r="A5578" s="10">
        <v>1220</v>
      </c>
      <c r="B5578" s="10">
        <v>14</v>
      </c>
      <c r="C5578" s="10" t="s">
        <v>48</v>
      </c>
      <c r="D5578" s="10" t="s">
        <v>22</v>
      </c>
      <c r="E5578" s="15">
        <f>4.843-0.44+0.003-2.952+4.991-1.455-0.783</f>
        <v>4.206999999999999</v>
      </c>
    </row>
    <row r="5579" spans="1:5" x14ac:dyDescent="0.3">
      <c r="A5579" s="10">
        <v>1220</v>
      </c>
      <c r="B5579" s="10">
        <v>15</v>
      </c>
      <c r="C5579" s="10" t="s">
        <v>58</v>
      </c>
      <c r="D5579" s="10" t="s">
        <v>25</v>
      </c>
      <c r="E5579" s="15">
        <v>1.6040000000000001</v>
      </c>
    </row>
    <row r="5580" spans="1:5" x14ac:dyDescent="0.3">
      <c r="A5580" s="10">
        <v>1220</v>
      </c>
      <c r="B5580" s="10">
        <v>15</v>
      </c>
      <c r="C5580" s="10" t="s">
        <v>73</v>
      </c>
      <c r="D5580" s="10" t="s">
        <v>25</v>
      </c>
      <c r="E5580" s="15">
        <v>4.9480000000000004</v>
      </c>
    </row>
    <row r="5581" spans="1:5" x14ac:dyDescent="0.3">
      <c r="A5581" s="10">
        <v>1220</v>
      </c>
      <c r="B5581" s="10">
        <v>16</v>
      </c>
      <c r="C5581" s="10" t="s">
        <v>48</v>
      </c>
      <c r="D5581" s="10" t="s">
        <v>22</v>
      </c>
      <c r="E5581" s="15">
        <f>5.529-1.222-0.741</f>
        <v>3.5660000000000003</v>
      </c>
    </row>
    <row r="5582" spans="1:5" x14ac:dyDescent="0.3">
      <c r="A5582" s="10">
        <v>1220</v>
      </c>
      <c r="B5582" s="10">
        <v>18</v>
      </c>
      <c r="C5582" s="10" t="s">
        <v>48</v>
      </c>
      <c r="D5582" s="10" t="s">
        <v>22</v>
      </c>
      <c r="E5582" s="15">
        <f>5.797-1.656</f>
        <v>4.141</v>
      </c>
    </row>
    <row r="5583" spans="1:5" x14ac:dyDescent="0.3">
      <c r="A5583" s="10">
        <v>1220</v>
      </c>
      <c r="B5583" s="10">
        <v>20</v>
      </c>
      <c r="C5583" s="10" t="s">
        <v>26</v>
      </c>
      <c r="D5583" s="10" t="s">
        <v>25</v>
      </c>
      <c r="E5583" s="15">
        <v>14.292</v>
      </c>
    </row>
    <row r="5584" spans="1:5" x14ac:dyDescent="0.3">
      <c r="A5584" s="10">
        <v>1220</v>
      </c>
      <c r="B5584" s="10">
        <v>20</v>
      </c>
      <c r="C5584" s="10" t="s">
        <v>87</v>
      </c>
      <c r="D5584" s="10" t="s">
        <v>25</v>
      </c>
      <c r="E5584" s="15">
        <v>7.1849999999999996</v>
      </c>
    </row>
    <row r="5585" spans="1:5" x14ac:dyDescent="0.3">
      <c r="A5585" s="10">
        <v>1220</v>
      </c>
      <c r="B5585" s="10">
        <v>21.3</v>
      </c>
      <c r="C5585" s="10" t="s">
        <v>87</v>
      </c>
      <c r="D5585" s="10" t="s">
        <v>97</v>
      </c>
      <c r="E5585" s="15">
        <v>6.9</v>
      </c>
    </row>
    <row r="5586" spans="1:5" x14ac:dyDescent="0.3">
      <c r="A5586" s="10">
        <v>1220</v>
      </c>
      <c r="B5586" s="10">
        <v>24</v>
      </c>
      <c r="C5586" s="10" t="s">
        <v>87</v>
      </c>
      <c r="D5586" s="10" t="s">
        <v>25</v>
      </c>
      <c r="E5586" s="15">
        <f>8.422-3.465</f>
        <v>4.9570000000000007</v>
      </c>
    </row>
    <row r="5587" spans="1:5" x14ac:dyDescent="0.3">
      <c r="A5587" s="10">
        <v>1220</v>
      </c>
      <c r="B5587" s="10">
        <v>27.6</v>
      </c>
      <c r="C5587" s="10" t="s">
        <v>148</v>
      </c>
      <c r="D5587" s="10" t="s">
        <v>25</v>
      </c>
      <c r="E5587" s="15">
        <v>9.5410000000000004</v>
      </c>
    </row>
    <row r="5588" spans="1:5" x14ac:dyDescent="0.3">
      <c r="A5588" s="10">
        <v>1220</v>
      </c>
      <c r="B5588" s="10">
        <v>28</v>
      </c>
      <c r="C5588" s="10" t="s">
        <v>87</v>
      </c>
      <c r="D5588" s="10" t="s">
        <v>25</v>
      </c>
      <c r="E5588" s="15">
        <f>8.928-3.79</f>
        <v>5.1380000000000008</v>
      </c>
    </row>
    <row r="5589" spans="1:5" x14ac:dyDescent="0.3">
      <c r="A5589" s="8">
        <v>1220</v>
      </c>
      <c r="B5589" s="8">
        <v>38</v>
      </c>
      <c r="C5589" s="10" t="s">
        <v>87</v>
      </c>
      <c r="D5589" s="10" t="s">
        <v>149</v>
      </c>
      <c r="E5589" s="9">
        <v>12.407</v>
      </c>
    </row>
    <row r="5590" spans="1:5" x14ac:dyDescent="0.3">
      <c r="A5590" s="8">
        <v>1220</v>
      </c>
      <c r="B5590" s="8">
        <v>38</v>
      </c>
      <c r="C5590" s="10" t="s">
        <v>87</v>
      </c>
      <c r="D5590" s="10" t="s">
        <v>149</v>
      </c>
      <c r="E5590" s="9">
        <v>3.4009999999999998</v>
      </c>
    </row>
    <row r="5591" spans="1:5" x14ac:dyDescent="0.3">
      <c r="A5591" s="10">
        <v>1220</v>
      </c>
      <c r="B5591" s="10">
        <v>40</v>
      </c>
      <c r="C5591" s="10" t="s">
        <v>26</v>
      </c>
      <c r="D5591" s="10" t="s">
        <v>22</v>
      </c>
      <c r="E5591" s="15">
        <f>13.863+14.298+11.286-7.143-5.273</f>
        <v>27.031000000000002</v>
      </c>
    </row>
    <row r="5592" spans="1:5" x14ac:dyDescent="0.3">
      <c r="A5592" s="10">
        <v>1220</v>
      </c>
      <c r="B5592" s="10">
        <v>40</v>
      </c>
      <c r="C5592" s="10" t="s">
        <v>196</v>
      </c>
      <c r="D5592" s="10" t="s">
        <v>140</v>
      </c>
      <c r="E5592" s="15">
        <v>8.34</v>
      </c>
    </row>
    <row r="5593" spans="1:5" x14ac:dyDescent="0.3">
      <c r="A5593" s="10">
        <v>1420</v>
      </c>
      <c r="B5593" s="10">
        <v>10</v>
      </c>
      <c r="C5593" s="10" t="s">
        <v>58</v>
      </c>
      <c r="D5593" s="10" t="s">
        <v>25</v>
      </c>
      <c r="E5593" s="15">
        <f>4.285-1.433-0.404</f>
        <v>2.4480000000000004</v>
      </c>
    </row>
    <row r="5594" spans="1:5" x14ac:dyDescent="0.3">
      <c r="A5594" s="10">
        <v>1420</v>
      </c>
      <c r="B5594" s="10">
        <v>23.5</v>
      </c>
      <c r="C5594" s="10" t="s">
        <v>87</v>
      </c>
      <c r="D5594" s="10" t="s">
        <v>60</v>
      </c>
      <c r="E5594" s="15">
        <f>5.87-0.86</f>
        <v>5.01</v>
      </c>
    </row>
    <row r="5595" spans="1:5" x14ac:dyDescent="0.3">
      <c r="A5595" s="10">
        <v>1420</v>
      </c>
      <c r="B5595" s="10">
        <v>25.2</v>
      </c>
      <c r="C5595" s="10" t="s">
        <v>47</v>
      </c>
      <c r="D5595" s="10" t="s">
        <v>60</v>
      </c>
      <c r="E5595" s="15">
        <v>1.288</v>
      </c>
    </row>
    <row r="5596" spans="1:5" x14ac:dyDescent="0.3">
      <c r="A5596" s="10">
        <v>1420</v>
      </c>
      <c r="B5596" s="10">
        <v>25.8</v>
      </c>
      <c r="C5596" s="10" t="s">
        <v>47</v>
      </c>
      <c r="D5596" s="10" t="s">
        <v>60</v>
      </c>
      <c r="E5596" s="15">
        <f>4.158-2.617</f>
        <v>1.5410000000000004</v>
      </c>
    </row>
    <row r="5597" spans="1:5" x14ac:dyDescent="0.3">
      <c r="A5597" s="10">
        <v>1420</v>
      </c>
      <c r="B5597" s="10">
        <v>32</v>
      </c>
      <c r="C5597" s="10" t="s">
        <v>87</v>
      </c>
      <c r="D5597" s="10" t="s">
        <v>25</v>
      </c>
      <c r="E5597" s="15">
        <v>13.340999999999999</v>
      </c>
    </row>
    <row r="5598" spans="1:5" x14ac:dyDescent="0.3">
      <c r="A5598" s="10" t="s">
        <v>93</v>
      </c>
      <c r="B5598" s="10">
        <v>6</v>
      </c>
      <c r="C5598" s="10" t="s">
        <v>58</v>
      </c>
      <c r="D5598" s="10" t="s">
        <v>88</v>
      </c>
      <c r="E5598" s="15">
        <f>0.075-0.008-0.046</f>
        <v>2.1000000000000005E-2</v>
      </c>
    </row>
    <row r="5599" spans="1:5" x14ac:dyDescent="0.3">
      <c r="A5599" s="10" t="s">
        <v>74</v>
      </c>
      <c r="B5599" s="10">
        <v>2</v>
      </c>
      <c r="C5599" s="10" t="s">
        <v>34</v>
      </c>
      <c r="D5599" s="10" t="s">
        <v>61</v>
      </c>
      <c r="E5599" s="15">
        <f>0.05-0.015-0.012</f>
        <v>2.3000000000000003E-2</v>
      </c>
    </row>
    <row r="5600" spans="1:5" x14ac:dyDescent="0.3">
      <c r="A5600" s="10" t="s">
        <v>75</v>
      </c>
      <c r="B5600" s="10">
        <v>3</v>
      </c>
      <c r="C5600" s="10" t="s">
        <v>34</v>
      </c>
      <c r="D5600" s="10" t="s">
        <v>61</v>
      </c>
      <c r="E5600" s="15">
        <v>2E-3</v>
      </c>
    </row>
    <row r="5601" spans="1:5" x14ac:dyDescent="0.3">
      <c r="A5601" s="10" t="s">
        <v>76</v>
      </c>
      <c r="B5601" s="10">
        <v>4</v>
      </c>
      <c r="C5601" s="10" t="s">
        <v>34</v>
      </c>
      <c r="D5601" s="10" t="s">
        <v>61</v>
      </c>
      <c r="E5601" s="15">
        <f>0.073-0.011</f>
        <v>6.2E-2</v>
      </c>
    </row>
    <row r="5602" spans="1:5" x14ac:dyDescent="0.3">
      <c r="A5602" s="10" t="s">
        <v>62</v>
      </c>
      <c r="B5602" s="10">
        <v>10</v>
      </c>
      <c r="C5602" s="10" t="s">
        <v>34</v>
      </c>
      <c r="D5602" s="10" t="s">
        <v>63</v>
      </c>
      <c r="E5602" s="15">
        <f>2.25-0.18-0.13</f>
        <v>1.94</v>
      </c>
    </row>
    <row r="5603" spans="1:5" x14ac:dyDescent="0.3">
      <c r="A5603" s="10">
        <v>300</v>
      </c>
      <c r="B5603" s="10" t="s">
        <v>165</v>
      </c>
      <c r="C5603" s="10" t="s">
        <v>28</v>
      </c>
      <c r="D5603" s="10" t="s">
        <v>166</v>
      </c>
      <c r="E5603" s="15">
        <v>8.5000000000000006E-2</v>
      </c>
    </row>
    <row r="5604" spans="1:5" x14ac:dyDescent="0.3">
      <c r="A5604" s="10">
        <v>320</v>
      </c>
      <c r="B5604" s="10" t="s">
        <v>165</v>
      </c>
      <c r="C5604" s="10" t="s">
        <v>118</v>
      </c>
      <c r="D5604" s="10" t="s">
        <v>174</v>
      </c>
      <c r="E5604" s="15">
        <v>0.42399999999999999</v>
      </c>
    </row>
  </sheetData>
  <autoFilter ref="A2:E1348"/>
  <mergeCells count="1">
    <mergeCell ref="D1:E1"/>
  </mergeCells>
  <phoneticPr fontId="0" type="noConversion"/>
  <pageMargins left="0.73" right="0.66" top="0.23" bottom="0.17" header="0.17" footer="0.17"/>
  <pageSetup paperSize="9" scale="82" fitToHeight="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zoomScale="60" zoomScaleNormal="100" workbookViewId="0">
      <selection activeCell="I29" sqref="I29"/>
    </sheetView>
  </sheetViews>
  <sheetFormatPr defaultRowHeight="13.2" x14ac:dyDescent="0.25"/>
  <sheetData/>
  <phoneticPr fontId="0" type="noConversion"/>
  <pageMargins left="0.75" right="0.75" top="1" bottom="1" header="0.5" footer="0.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Al</cp:lastModifiedBy>
  <cp:lastPrinted>2013-01-10T10:23:57Z</cp:lastPrinted>
  <dcterms:created xsi:type="dcterms:W3CDTF">2007-05-30T20:00:26Z</dcterms:created>
  <dcterms:modified xsi:type="dcterms:W3CDTF">2025-03-06T15:04:03Z</dcterms:modified>
</cp:coreProperties>
</file>